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095" windowHeight="7680" activeTab="0"/>
  </bookViews>
  <sheets>
    <sheet name="оглавление" sheetId="1" r:id="rId1"/>
    <sheet name="материалы" sheetId="2" r:id="rId2"/>
  </sheets>
  <definedNames/>
  <calcPr fullCalcOnLoad="1" refMode="R1C1"/>
</workbook>
</file>

<file path=xl/sharedStrings.xml><?xml version="1.0" encoding="utf-8"?>
<sst xmlns="http://schemas.openxmlformats.org/spreadsheetml/2006/main" count="1596" uniqueCount="525">
  <si>
    <t>Наименование товаров</t>
  </si>
  <si>
    <t>кр. опт</t>
  </si>
  <si>
    <t>(включая НДС,
 без учета НП)</t>
  </si>
  <si>
    <t>БАНЕРНАЯ ТКАНЬ</t>
  </si>
  <si>
    <t>ДВУХСТОРОННИЙ</t>
  </si>
  <si>
    <t>БАНЕР двухсторонний/440 гр/1,20 м</t>
  </si>
  <si>
    <t>шт.</t>
  </si>
  <si>
    <t>БАНЕР двухсторонний/440 гр/1,37 м</t>
  </si>
  <si>
    <t>БАНЕР двухсторонний/440 гр/1,60 м</t>
  </si>
  <si>
    <t>ЛАМИНИРОВАННЫЙ</t>
  </si>
  <si>
    <t>280 гр/м</t>
  </si>
  <si>
    <t>340 гр/м</t>
  </si>
  <si>
    <t>440 гр/м</t>
  </si>
  <si>
    <t>ЛИТОЙ</t>
  </si>
  <si>
    <t>БАНЕР литой/510гр/1,10 м</t>
  </si>
  <si>
    <t>БАНЕР литой/510гр/1,60 м</t>
  </si>
  <si>
    <t>БАНЕР литой/510гр/2,50 м</t>
  </si>
  <si>
    <t>БАНЕР литой/510гр/3,20 м</t>
  </si>
  <si>
    <t>СЕТКА</t>
  </si>
  <si>
    <t>СЕТКА банерная/250 гр/3,20 м/без подложки</t>
  </si>
  <si>
    <t>СЕТКА банерная/270 гр/3,20 м/на подложке</t>
  </si>
  <si>
    <t>СЕТКА банерная/370 гр/1,37 м/с подложкой</t>
  </si>
  <si>
    <t>ТРАНСЛЮСЦЕНТНЫЙ</t>
  </si>
  <si>
    <t>БАНЕР транлюсцентный/440 гр/1,60 м</t>
  </si>
  <si>
    <t>БАНЕР транлюсцентный/440 гр/3,20 м</t>
  </si>
  <si>
    <t>БАНЕР транлюсцентный/610 гр/1.6 м</t>
  </si>
  <si>
    <t>БАНЕР транлюсцентный/610 гр/3,20 м</t>
  </si>
  <si>
    <t>Перфорированная пленка Konflex 1.37*50</t>
  </si>
  <si>
    <t>ФОТОБУМАГА/220 гр/1,07*30 м/глянцевая</t>
  </si>
  <si>
    <t>ФОТОБУМАГА/220 гр/1,07*30 м/матовая</t>
  </si>
  <si>
    <t>ФОТОБУМАГА/220 гр/1,27*30 м/глянцевая</t>
  </si>
  <si>
    <t>ФОТОБУМАГА/220 гр/1,27*30 м/матовая</t>
  </si>
  <si>
    <t>ХОЛСТ</t>
  </si>
  <si>
    <t>ХОЛСТ хлопчатобумажный/260 гр/1,52*18 м</t>
  </si>
  <si>
    <t>ХОЛСТ хлопчатобумажный/350 гр/1,52*18 м/глянец</t>
  </si>
  <si>
    <t>ХОЛСТ хлопчатобумажный/350 гр/1,52*18 м/мат</t>
  </si>
  <si>
    <t>ORAJET</t>
  </si>
  <si>
    <t>Orajet (3640-000г/м 1 м*50м)</t>
  </si>
  <si>
    <t>Orajet (3640-000г/м 1,26 м*50м)</t>
  </si>
  <si>
    <t>Orajet (3640-000г /м1,37 м*50м)</t>
  </si>
  <si>
    <t>Orajet (3640-000г /м1.52м*50м)</t>
  </si>
  <si>
    <t>Orajet (3640-010м /г1 м*50м)</t>
  </si>
  <si>
    <t>Orajet (3640-010м/г 1.26 м*50м)</t>
  </si>
  <si>
    <t>Orajet (3640-010м/г 1.37м*50м)</t>
  </si>
  <si>
    <t>Orajet (3640-010м/г 1.52м*50м)</t>
  </si>
  <si>
    <t>Orajet (3640-010м/г 2 м*50м)</t>
  </si>
  <si>
    <t>САМОКЛЕЮЩИЕСЯ ПЛЕНКИ</t>
  </si>
  <si>
    <t>ORACAL</t>
  </si>
  <si>
    <t>ORACAL 351,352</t>
  </si>
  <si>
    <t>ORACAL 351/001/серебро метализированное</t>
  </si>
  <si>
    <t>м/пог.</t>
  </si>
  <si>
    <t>ORACAL 352/003/золото метализированное</t>
  </si>
  <si>
    <t>ORACAL 641</t>
  </si>
  <si>
    <t>Оracal  641-000/010 г /м/ шир. 1 м</t>
  </si>
  <si>
    <t>Оracal  641- цвет/м/г / шир. 1 м</t>
  </si>
  <si>
    <t>Оracal  641-090-092 м/г / шир. 1 м</t>
  </si>
  <si>
    <t>ORACAL 8300</t>
  </si>
  <si>
    <t>Оracal  (8300 витражная шир. 1 м)</t>
  </si>
  <si>
    <t>ORACAL 8500</t>
  </si>
  <si>
    <t>Оracal  (8500 транслюсцентная шир. 1 м)</t>
  </si>
  <si>
    <t>ДВУХСТОРОННИЕ ПЛЕНКИ</t>
  </si>
  <si>
    <t>ORABOND 4040D ширина 1.05 м</t>
  </si>
  <si>
    <t>МОНТАЖНЫЕ ПЛЕНКИ</t>
  </si>
  <si>
    <t>Пленка монтажная / Oratape MT-80P / 1 м</t>
  </si>
  <si>
    <t>Пленка монтажная / Oratape MT-95 / 0,5*50 м</t>
  </si>
  <si>
    <t>Пленка монтажная / Oratape MT-95 / 1*50 м</t>
  </si>
  <si>
    <t>ТРАФАРЕТНЫЕ ПЛЕКИ</t>
  </si>
  <si>
    <t>MONTEX SBF 235 пленка трафаретная 1,26*50 белая</t>
  </si>
  <si>
    <t>ORAMASK 831 1m x 50m трафаретная пленка</t>
  </si>
  <si>
    <t>ЛИСТОВЫЕ МАТЕРИАЛЫ</t>
  </si>
  <si>
    <t>ПЭТ</t>
  </si>
  <si>
    <t>ПЭТ прозрачный/корея/0,5 мм/1250*2050</t>
  </si>
  <si>
    <t>лист</t>
  </si>
  <si>
    <t>ПЭТ прозрачный/корея/0,75 мм/1250*2050</t>
  </si>
  <si>
    <t>ПЭТ прозрачный/корея/1 мм/1250*2050</t>
  </si>
  <si>
    <t>ПЭТ прозрачный/корея/1,5 мм/1250*2050</t>
  </si>
  <si>
    <t>ПЭТ прозрачный/корея/2 мм/1250*2050</t>
  </si>
  <si>
    <t>Пластик белый ПВХ /  1 мм / 1560*3050/UNEXT STRONG</t>
  </si>
  <si>
    <t>Пластик белый ПВХ /  2 мм / 1560*3050/UNEXT ART</t>
  </si>
  <si>
    <t>Пластик белый ПВХ /  2 мм / 1560*3050/UNEXT STRONG</t>
  </si>
  <si>
    <t>Пластик белый ПВХ /  2 мм / 2050*3050/UNEXT  ART</t>
  </si>
  <si>
    <t>Пластик белый ПВХ /  2 мм / 2050*3050/UNEXT STRONG</t>
  </si>
  <si>
    <t>Пластик белый ПВХ /  3 мм / 1560*3050/UNEXT ART</t>
  </si>
  <si>
    <t>Пластик белый ПВХ /  3 мм / 1560*3050/UNEXT STRONG</t>
  </si>
  <si>
    <t>Пластик белый ПВХ /  3 мм / 2050*3050/UNEXT ART</t>
  </si>
  <si>
    <t>Пластик белый ПВХ /  3 мм / 2050*3050/UNEXT STRONG</t>
  </si>
  <si>
    <t>Пластик белый ПВХ /  4 мм / 1560*3050/UNEXT ART</t>
  </si>
  <si>
    <t>Пластик белый ПВХ /  4 мм / 1560*3050/UNEXT STRONG</t>
  </si>
  <si>
    <t>Пластик белый ПВХ /  4 мм / 2050*3050/UNEXT ART</t>
  </si>
  <si>
    <t>Пластик белый ПВХ /  4 мм / 2050*3050/UNEXT STRONG</t>
  </si>
  <si>
    <t>Пластик белый ПВХ /  5 мм / 1560*3050/UNEXT ART</t>
  </si>
  <si>
    <t>Пластик белый ПВХ /  5 мм / 1560*3050/UNEXT STRONG</t>
  </si>
  <si>
    <t>Пластик белый ПВХ /  5 мм / 2050*3050/UNEXT ART</t>
  </si>
  <si>
    <t>Пластик белый ПВХ /  5 мм / 2050*3050/UNEXT STRONG</t>
  </si>
  <si>
    <t>Пластик белый ПВХ /  6 мм / 1560*3050/UNEXT  ART</t>
  </si>
  <si>
    <t>Пластик белый ПВХ /  6 мм / 1560*3050/UNEXT STRONG</t>
  </si>
  <si>
    <t>Пластик белый ПВХ /  6 мм / 2050*3050/UNEXT ART</t>
  </si>
  <si>
    <t>Пластик белый ПВХ /  6 мм / 2050*3050/UNEXT STRONG</t>
  </si>
  <si>
    <t>Пластик белый ПВХ /  8 мм / 1560*3050/UNEXT ART</t>
  </si>
  <si>
    <t>Пластик белый ПВХ /  8 мм / 1560*3050/UNEXT STRONG</t>
  </si>
  <si>
    <t>Пластик белый ПВХ /  8 мм / 2050*3050/UNEXT STRONG</t>
  </si>
  <si>
    <t>Пластик белый ПВХ / 10 мм / 1560*3050/UNEXT STRONG</t>
  </si>
  <si>
    <t>Пластик белый ПВХ / 10 мм / 2050*3050/UNEXT STRONG</t>
  </si>
  <si>
    <t>ВСПЕНЕНЫЙ  ПВХ</t>
  </si>
  <si>
    <t>АКРИЛ МОЛОЧНЫЙ</t>
  </si>
  <si>
    <t>Акрил матовый 3мм/PLEXIGLAS XT/2050х3050</t>
  </si>
  <si>
    <t>Акрил молочный  2мм/ACRYMA/2050х3050</t>
  </si>
  <si>
    <t>Акрил молочный  2мм/PLEXIGLAS XT/2050х3050</t>
  </si>
  <si>
    <t>Акрил молочный  3мм/ACRYMA/2050х3050</t>
  </si>
  <si>
    <t>Акрил молочный  3мм/PLEXIGLAS XT/2050х3050</t>
  </si>
  <si>
    <t>Акрил молочный  4мм/ACRYMA/2050х3050</t>
  </si>
  <si>
    <t>Акрил молочный  4мм/PLEXIGLAS XT/2050х3050</t>
  </si>
  <si>
    <t>Акрил молочный  5мм/ACRYMA/2050х3050</t>
  </si>
  <si>
    <t>Акрил молочный  5мм/PLEXIGLAS XT/2050х3050</t>
  </si>
  <si>
    <t>Акрил молочный  6мм/ACRYMA/2050х3050</t>
  </si>
  <si>
    <t>Акрил молочный  6мм/PLEXIGLAS XT/2050х3050</t>
  </si>
  <si>
    <t>Акрил молочный  8мм/ACRYMA/2050х3050</t>
  </si>
  <si>
    <t>Акрил молочный10 мм/ACRYMA/2050х3050</t>
  </si>
  <si>
    <t>СОТОВЫЙ ПОЛИКАРБОНАТ</t>
  </si>
  <si>
    <t>4 мм</t>
  </si>
  <si>
    <t>СПК/ прозрачн/Actual NEW/4 мм/12000х2100</t>
  </si>
  <si>
    <t>СПК/ прозрачн/KINPLAST/4мм/12000х2100</t>
  </si>
  <si>
    <t>СПК/ прозрачн/NOVATRRO/4мм/12000х2100</t>
  </si>
  <si>
    <t>СПК/ прозрачн/POL/4мм/12000х2100</t>
  </si>
  <si>
    <t>СПК/ прозрачн/SELLEX TS NEW/4мм/12000х2100</t>
  </si>
  <si>
    <t>СПК/ прозрачн/SELLEX/4мм/12000х2100</t>
  </si>
  <si>
    <t>СПК/ прозрачн/SUNNEX/4мм/12000х2100</t>
  </si>
  <si>
    <t>СПК/цветной/NOVATRRO/4мм/12000х2100</t>
  </si>
  <si>
    <t>СПК/цветной/POL/4мм/12000х2100</t>
  </si>
  <si>
    <t>СПК/цветной/SELLEX TS NEW/4 мм/12000х2100</t>
  </si>
  <si>
    <t>СПК/цветной/SELLEX/4 мм/12000х2100</t>
  </si>
  <si>
    <t>6 мм</t>
  </si>
  <si>
    <t>СПК/ прозрачн / SUNNEX/6мм/12000х2100</t>
  </si>
  <si>
    <t>СПК/ прозрачн/Actual NEW/6 мм/12000*2100</t>
  </si>
  <si>
    <t>СПК/ прозрачн/NOVATRRO/6мм/12000х2100</t>
  </si>
  <si>
    <t>СПК/ прозрачн/POL/6мм/12000х2100</t>
  </si>
  <si>
    <t>СПК/ прозрачн/SELEX/6мм/12000х2100</t>
  </si>
  <si>
    <t>СПК/ прозрачн/SELLEX TS NEW/6мм/12000х2100</t>
  </si>
  <si>
    <t>СПК/цветной/NOVATRRO/6мм/12000х2100</t>
  </si>
  <si>
    <t>СПК/цветной/POL/6мм/12000х2100</t>
  </si>
  <si>
    <t>СПК/цветной/SELLEX TS NEW/6мм/12000х2100</t>
  </si>
  <si>
    <t>СПК/цветной/SELLEX/6мм/12000х2100</t>
  </si>
  <si>
    <t>8 мм</t>
  </si>
  <si>
    <t>СПК/ прозрачн/NOVATRRO/8мм/12000х2100</t>
  </si>
  <si>
    <t>СПК/ прозрачн/POL/8мм/12000х2100</t>
  </si>
  <si>
    <t>СПК/ прозрачн/SELLEX TS NEW/8мм/12000х2100</t>
  </si>
  <si>
    <t>СПК/ прозрачн/SELLEX/8мм/12000х2100</t>
  </si>
  <si>
    <t>СПК/цветной/NOVATRRO/8мм/12000х2100</t>
  </si>
  <si>
    <t>СПК/цветной/POL/8мм/12000х2100</t>
  </si>
  <si>
    <t>СПК/цветной/SELLEX TS NEW/8мм/12000х2100</t>
  </si>
  <si>
    <t>10 мм</t>
  </si>
  <si>
    <t>СПК/ прозрачн/NOVATRRO/10мм/12000х2100</t>
  </si>
  <si>
    <t>СПК/ прозрачн/POL/10мм/12000х2100</t>
  </si>
  <si>
    <t>СПК/ прозрачн/SELLEX TS NEW10мм/12000х2100</t>
  </si>
  <si>
    <t>СПК/ прозрачн/SELLEX/10мм/12000х2100</t>
  </si>
  <si>
    <t>СПК/цветной/NOVATRRO/10мм/12000х2100</t>
  </si>
  <si>
    <t>СПК/цветной/POL/10мм/12000х2100</t>
  </si>
  <si>
    <t>СПК/цветной/SELLEX TS NEW/10мм/12000х2100</t>
  </si>
  <si>
    <t>СПК/цветной/SELLEX/10мм/12000х2100</t>
  </si>
  <si>
    <t>16 мм</t>
  </si>
  <si>
    <t>СПК/ прозрачн/NOVATRRO/16мм/12000х2100</t>
  </si>
  <si>
    <t>СПК/цветной/NOVATRRO/16мм/12000х2100</t>
  </si>
  <si>
    <t>20 мм</t>
  </si>
  <si>
    <t>СПК/ прозрачн/NOVATRRO/20мм/12000х2100</t>
  </si>
  <si>
    <t>СПК/цветной/NOVATRRO/20мм/12000х2100</t>
  </si>
  <si>
    <t>25 мм</t>
  </si>
  <si>
    <t>СПК/ прозрачн/NOVATRRO/25мм/12000х2100</t>
  </si>
  <si>
    <t>СПК/цветной/NOVATRRO/25мм/12000х2100</t>
  </si>
  <si>
    <t>32 мм</t>
  </si>
  <si>
    <t>СПК/ прозрачн/NOVATRRO/32мм/12000х2100</t>
  </si>
  <si>
    <t>СПК/цветной/NOVATRRO/32мм/12000х2100</t>
  </si>
  <si>
    <t>МОНОЛИТНЫЙ ПОЛИКАРБОНАТ</t>
  </si>
  <si>
    <t>2 мм</t>
  </si>
  <si>
    <t>Монолитный поликарбонат/2мм/ прозрачный/2050х3050</t>
  </si>
  <si>
    <t>3 мм</t>
  </si>
  <si>
    <t>Монолитный поликарбонат/3мм/ прозрачный/2050х3050</t>
  </si>
  <si>
    <t>Монолитный поликарбонат/4мм/ прозрачный/2050х3050</t>
  </si>
  <si>
    <t>5 мм</t>
  </si>
  <si>
    <t>Монолитный поликарбонат/5мм/ прозрачный/2050х3050</t>
  </si>
  <si>
    <t>Монолитный поликарбонат/6мм/ прозрачный/2050х3050</t>
  </si>
  <si>
    <t>Монолитный поликарбонат/8мм/ прозрачный/2050х3050</t>
  </si>
  <si>
    <t>Монолитный поликарбонат/10мм/ прозрачный/2050х3050</t>
  </si>
  <si>
    <t>12 мм</t>
  </si>
  <si>
    <t>Монолитный поликарбонат/12мм/ прозрачный/2050х3050</t>
  </si>
  <si>
    <t>Монолитный поликарбонат/2м/бронза/молоч/син/2050х3050</t>
  </si>
  <si>
    <t>Монолитный поликарбонат/3мм/бронза/молоч/син/2050х3050</t>
  </si>
  <si>
    <t>Монолитный поликарбонат/4мм/бронза/молоч/син/2050х3050</t>
  </si>
  <si>
    <t>Монолитный поликарбонат/5мм/бронза/молоч/син/2050х3050</t>
  </si>
  <si>
    <t>Монолитный поликарбонат/6мм/бронза/молоч/син/2050х3050</t>
  </si>
  <si>
    <t>Монолитный поликарбонат/8мм/бронза/молоч/син/2050х3050</t>
  </si>
  <si>
    <t>Монолитный поликарбонат/10мм/бронза/молоч/син/2050х3050</t>
  </si>
  <si>
    <t>АЛЮМИНИЕВЫЕ КОМПОЗИТНЫЕ ПАНЕЛИ</t>
  </si>
  <si>
    <t>1,22*4м/1,50*4м</t>
  </si>
  <si>
    <t>Композит/1,50*4000/3mm/0.21mm/цветной//REXBOND</t>
  </si>
  <si>
    <t>1,50*5,8м</t>
  </si>
  <si>
    <t>Композит/1,50*5800/3mm/0.21mm/цветной//REXBOND</t>
  </si>
  <si>
    <t>Композит/1,50*4000/3mm/0.3mm/цветной//REXBOND</t>
  </si>
  <si>
    <t>ПОЛИСТИРОЛ</t>
  </si>
  <si>
    <t>БЕЛЫЙ</t>
  </si>
  <si>
    <t>Полистирол/2мм/белый/2000х3000</t>
  </si>
  <si>
    <t>Полистирол/3мм/белый/2000х3000</t>
  </si>
  <si>
    <t>ЗЕРКАЛЬНЫЙ</t>
  </si>
  <si>
    <t>Полистирол/1мм/зеркальный/золото/1000х2000</t>
  </si>
  <si>
    <t>Полистирол/1мм/зеркальный/серебро/1000х2000</t>
  </si>
  <si>
    <t>Полистирол/2мм/зеркальный/золото/1000х2000</t>
  </si>
  <si>
    <t>Полистирол/2мм/зеркальный/серебро/1000х2000</t>
  </si>
  <si>
    <t>ТРАНСЛЮЦЕНТНЫЙ</t>
  </si>
  <si>
    <t>Полистирол/2мм/транслюцентный/2000х3000</t>
  </si>
  <si>
    <t>Полистирол/3мм/транслюцентный/2000х3000</t>
  </si>
  <si>
    <t>Полистирол/4мм/транслюцентный/2000х3000</t>
  </si>
  <si>
    <t>ЦВЕТНОЙ</t>
  </si>
  <si>
    <t>ЦВЕТНОЙ ПВХ</t>
  </si>
  <si>
    <t>Пластик (желтый,зеленый,красный,серый,синий,черный) ПВХ 3 мм / 1220х2440</t>
  </si>
  <si>
    <t>Пластик (желтый,красный,серый,синий,черный)  ПВХ 3 мм / 1560х3050</t>
  </si>
  <si>
    <t>ОРГСТЕКЛО/Plexiglas</t>
  </si>
  <si>
    <t>Оргстекло прозрачное/ 1,5мм/2050х3050</t>
  </si>
  <si>
    <t>Оргстекло прозрачное/ 2мм/2050х3050</t>
  </si>
  <si>
    <t>Оргстекло прозрачное/ 3мм/2050х3050</t>
  </si>
  <si>
    <t>Оргстекло прозрачное/ 4мм/2050х3050</t>
  </si>
  <si>
    <t>Оргстекло прозрачное/ 6мм/2050х3050</t>
  </si>
  <si>
    <t>Оргстекло прозрачное/ 8мм/2050х3050</t>
  </si>
  <si>
    <t>Оргстекло прозрачное/10мм/2050х3050</t>
  </si>
  <si>
    <t>Оргстекло прозрачное/15мм/2050х3050</t>
  </si>
  <si>
    <t>ПЕНАКАРТОН</t>
  </si>
  <si>
    <t>Пенакартон/ 3 мм/1000*1400</t>
  </si>
  <si>
    <t>Пенакартон/ 5 мм/1000*1400</t>
  </si>
  <si>
    <t>Пенакартон/ 5 мм/1400*3000</t>
  </si>
  <si>
    <t>Пенакартон/10 мм/1000*1400</t>
  </si>
  <si>
    <t>Пенакартон/10 мм/1400*3000</t>
  </si>
  <si>
    <t>ПРОФИЛИ, КРЕПЕЖНЫЕ ЭЛЕМЕНТЫ</t>
  </si>
  <si>
    <t>NIELSEN и JM</t>
  </si>
  <si>
    <t>JM</t>
  </si>
  <si>
    <t>NIELSEN</t>
  </si>
  <si>
    <t>петля NIELSEN</t>
  </si>
  <si>
    <t>пружина NIELSEN</t>
  </si>
  <si>
    <t>уголок NIELSEN</t>
  </si>
  <si>
    <t>ALS</t>
  </si>
  <si>
    <t>90мм</t>
  </si>
  <si>
    <t>Профиль ALS/90мм/2м/белый</t>
  </si>
  <si>
    <t>Профиль ALS/90мм/2м/сырой</t>
  </si>
  <si>
    <t>130мм</t>
  </si>
  <si>
    <t>Профиль ALS/130мм/2м/ сырой</t>
  </si>
  <si>
    <t>180мм</t>
  </si>
  <si>
    <t>Профиль ALS/180мм/2м/белый</t>
  </si>
  <si>
    <t>Профиль ALS/180мм/2м/сырой</t>
  </si>
  <si>
    <t>ЭЛЬКАМЕТ</t>
  </si>
  <si>
    <t>F образный</t>
  </si>
  <si>
    <t>L образный</t>
  </si>
  <si>
    <t>ЗАЩЕЛКИВАЮЩИЙСЯ ПРОФИЛЬ</t>
  </si>
  <si>
    <t>Защелкивающийся профиль/крышка+база/25мм/3,05м</t>
  </si>
  <si>
    <t>Защелкивающийся профиль/крышка+база/32мм/3,05м</t>
  </si>
  <si>
    <t>Защелкивающийся профиль/пружина/25мм</t>
  </si>
  <si>
    <t>Защелкивающийся профиль/пружина/32мм</t>
  </si>
  <si>
    <t>Защелкивающийся профиль/уголок/25мм</t>
  </si>
  <si>
    <t>Защелкивающийся профиль/уголок/32мм</t>
  </si>
  <si>
    <t>АЛЮМ. ПРОФ. ДЛЯ СВЕТ. КОРОБОВ</t>
  </si>
  <si>
    <t>Профиль алюмин для свет коробов/сырой/ 90*6000</t>
  </si>
  <si>
    <t>Профиль алюмин для свет коробов/сырой/130*6000</t>
  </si>
  <si>
    <t>Профиль алюмин для свет коробов/сырой/180*6000</t>
  </si>
  <si>
    <t>Уголок пластиковый для ал. проф/ 90/серый</t>
  </si>
  <si>
    <t>Уголок пластиковый для ал. проф/130/серый</t>
  </si>
  <si>
    <t>Уголок пластиковый для ал. проф/180/серый</t>
  </si>
  <si>
    <t>QUATTRO/90мм/4000/белый/сер/черн</t>
  </si>
  <si>
    <t>Уголок QUATTRO/90мм/прямой/бел/сер/черн</t>
  </si>
  <si>
    <t>QUATTRO</t>
  </si>
  <si>
    <t>QUATTRO/130мм/4000/белый/сер/черн</t>
  </si>
  <si>
    <t>Уголок QUATTRO/130мм/прямой/бел/сер/черн</t>
  </si>
  <si>
    <t>QUATTRO/180мм/4000/белый/сер/черн</t>
  </si>
  <si>
    <t>Уголок QUATTRO/180мм/прямой/бел/сер/черн</t>
  </si>
  <si>
    <t>БАНЕРОЛ</t>
  </si>
  <si>
    <t>Заглушка для банерола белая/черная</t>
  </si>
  <si>
    <t>Петля для банерола белая/черная</t>
  </si>
  <si>
    <t>Профиль плакатный (банерол) белый/черный 3м</t>
  </si>
  <si>
    <t>ДИСПЛЕЙ</t>
  </si>
  <si>
    <t>Дисплей/235/1,5мм/белый</t>
  </si>
  <si>
    <t>ДИСТАНЦИОННЫЕ ДЕРЖАТЕЛИ</t>
  </si>
  <si>
    <t>Дистанционный держатель/15мм</t>
  </si>
  <si>
    <t>Дистанционный держатель/20мм</t>
  </si>
  <si>
    <t>Дистанционный держатель/24мм</t>
  </si>
  <si>
    <t>ПРОФИЛИ ДЛЯ ПОЛИКАРБОНАТА</t>
  </si>
  <si>
    <t>КОНЬКОВЫЕ</t>
  </si>
  <si>
    <t>Профиль для ПКР/коньковый/ 4-6 мм /6м</t>
  </si>
  <si>
    <t>Профиль для ПКР/коньковый/ 8-10мм /6м/прозр</t>
  </si>
  <si>
    <t>Профиль для ПКР/коньковый/16мм/6м/прозр</t>
  </si>
  <si>
    <t>ПРИСТЕННЫЕ</t>
  </si>
  <si>
    <t>Профиль для ПКР/пристенный/ 4-6мм/6м/прозрачный</t>
  </si>
  <si>
    <t>Профиль для ПКР/пристенный/ 8-10мм/6м/прозрачный</t>
  </si>
  <si>
    <t>Профиль для ПКР/пристенный/16мм/6м/прозрачный</t>
  </si>
  <si>
    <t>СТЫКОВОЧНЫЕ</t>
  </si>
  <si>
    <t>Профиль для ПКР/Н-обр./  4 мм/6м/прозрачный</t>
  </si>
  <si>
    <t>Профиль для ПКР/Н-обр./ 4-6мм/6м/(прозрозр,цветной)</t>
  </si>
  <si>
    <t>Профиль для ПКР/Н-обр./ 6 мм//6м/прозрачный</t>
  </si>
  <si>
    <t>Профиль для ПКР/Н-обр./ 8мм/6м/ прозрачный</t>
  </si>
  <si>
    <t>Профиль для ПКР/Н-обр./ 8мм/6м/(цветной)</t>
  </si>
  <si>
    <t>Профиль для ПКР/Н-обр./10мм/6м/ прозрачный</t>
  </si>
  <si>
    <t>Профиль для ПКР/Н-обр./10мм/6м/(цветной)</t>
  </si>
  <si>
    <t>ТОРЦЕВЫЕ</t>
  </si>
  <si>
    <t>Профиль для ПКР/П-обр./ 4мм/2,1м/ прозр/цветной</t>
  </si>
  <si>
    <t>Профиль для ПКР/П-обр./ 6 мм/2,1м/прозр/цветной</t>
  </si>
  <si>
    <t>Профиль для ПКР/П-обр./ 8мм /2,1м/прозр/цветной</t>
  </si>
  <si>
    <t>Профиль для ПКР/П-обр./10мм /2,1м/прозр/цветной</t>
  </si>
  <si>
    <t>Профиль для ПКР/П-обр./16мм/2,1м/прозр/цветной</t>
  </si>
  <si>
    <t>УГЛОВЫЕ</t>
  </si>
  <si>
    <t>Профиль для ПКР/угловой/4-6мм/6м/прозр</t>
  </si>
  <si>
    <t>ЛЮВЕРСЫ</t>
  </si>
  <si>
    <t>Люверсы оцинкованные/10мм/10шт</t>
  </si>
  <si>
    <t>Люверсы оцинкованные/12мм/10шт</t>
  </si>
  <si>
    <t>ИНСТРУМЕНТ ДЛЯ ЛЮВЕРСОВ</t>
  </si>
  <si>
    <t>Инструмент/Для крепления люверса/германия/10мм</t>
  </si>
  <si>
    <t>Инструмент/Для крепления люверса/германия/12мм</t>
  </si>
  <si>
    <t>Инструмент/Для пробивки отверстий/германия/10мм</t>
  </si>
  <si>
    <t>Инструмент/Для пробивки отверстий/германия/12мм</t>
  </si>
  <si>
    <t>Инструмент/Установки люверса комплект/россия/10мм</t>
  </si>
  <si>
    <t>Инструмент/Установки люверса комплект/россия/12мм</t>
  </si>
  <si>
    <t>ПРУЖИНА ДЛЯ БАНЕРА</t>
  </si>
  <si>
    <t>Пружина для банера короткая</t>
  </si>
  <si>
    <t>ПРОЧЕЕ</t>
  </si>
  <si>
    <t>BEEP ORACAL-641</t>
  </si>
  <si>
    <t>BEEP ORACAL-8500, 8300</t>
  </si>
  <si>
    <t>Каталог ORACAL - 641</t>
  </si>
  <si>
    <t>Каталог ORACAL - 8500</t>
  </si>
  <si>
    <t>Ракель ORAFOL пластиковый</t>
  </si>
  <si>
    <t>Ракель ORAFOL фетровый</t>
  </si>
  <si>
    <t>Ракель X-FILM пластиковый</t>
  </si>
  <si>
    <t>Ракель X-FILM резиновый</t>
  </si>
  <si>
    <t>Ракель X-FILM фетровый</t>
  </si>
  <si>
    <t>ракель резиновый 31см</t>
  </si>
  <si>
    <t>СВЕТОТЕХНИКА</t>
  </si>
  <si>
    <t>ЛИМИНЕСЦЕНТНЫЕ ЛАМПЫ</t>
  </si>
  <si>
    <t>15 - 58 Вт</t>
  </si>
  <si>
    <t>дроссель (15 вт)</t>
  </si>
  <si>
    <t>дроссель (18 вт)</t>
  </si>
  <si>
    <t>дроссель (30 вт)</t>
  </si>
  <si>
    <t>дроссель (36 вт)</t>
  </si>
  <si>
    <t>дроссель (58 вт)</t>
  </si>
  <si>
    <t>Клипса 26 мм</t>
  </si>
  <si>
    <t>Лампа  Philips (15 вт)</t>
  </si>
  <si>
    <t>Лампа  Philips (18 вт)</t>
  </si>
  <si>
    <t>Лампа  Philips (30 вт)</t>
  </si>
  <si>
    <t>Лампа  Philips (36 вт)</t>
  </si>
  <si>
    <t>Лампа  Philips (58 вт)</t>
  </si>
  <si>
    <t>Патрон G 13</t>
  </si>
  <si>
    <t>Патрон G 13 со стартеродер.</t>
  </si>
  <si>
    <t>Стартер одиноч. вкл. Philips</t>
  </si>
  <si>
    <t>Стартер послед. вкл. Philips</t>
  </si>
  <si>
    <t>КОЛЬЦО</t>
  </si>
  <si>
    <t>Лампа SYLVANIA кольцо (22 вт 216 мм)</t>
  </si>
  <si>
    <t>Лампа SYLVANIA кольцо (32 вт 307 мм)</t>
  </si>
  <si>
    <t>Лампа SYLVANIA кольцо (40 вт 409 мм)</t>
  </si>
  <si>
    <t>Патрон кольц. ламп G10q</t>
  </si>
  <si>
    <t>КОМПАКТНЫЕ</t>
  </si>
  <si>
    <t>дроссель (13 вт)</t>
  </si>
  <si>
    <t>дроссель (4,6,8 вт)</t>
  </si>
  <si>
    <t>Клипса 16 мм</t>
  </si>
  <si>
    <t>Компактная лампа SYLVANIA (13 вт 517 мм)</t>
  </si>
  <si>
    <t>Компактная лампа SYLVANIA (4 вт 136 мм)</t>
  </si>
  <si>
    <t>Компактная лампа SYLVANIA (6 вт 212 мм)</t>
  </si>
  <si>
    <t>Компактная лампа SYLVANIA (8 вт 288 мм)</t>
  </si>
  <si>
    <t>Патрон G5</t>
  </si>
  <si>
    <t>Стартеродержатель</t>
  </si>
  <si>
    <t>ТОНКИЕ</t>
  </si>
  <si>
    <t>LT 24W/860 HQ лампа G5 549 mm</t>
  </si>
  <si>
    <t>LT 39W/860 HQ лампа G5 849 mm</t>
  </si>
  <si>
    <t>ЭПРА</t>
  </si>
  <si>
    <t>Набор ПРА 2*20-40 W</t>
  </si>
  <si>
    <t>Набор ПРА 2*58-65 W</t>
  </si>
  <si>
    <t>ПРОЖЕКТОРЫ</t>
  </si>
  <si>
    <t>ГАЛОГЕНОВЫЕ</t>
  </si>
  <si>
    <t>Лампа галогеновая philips (150 вт)</t>
  </si>
  <si>
    <t>Лампа галогеновая philips (300 вт)</t>
  </si>
  <si>
    <t>Лампа галогеновая philips (500 вт)</t>
  </si>
  <si>
    <t>МЕТАЛОГАЛОГЕН</t>
  </si>
  <si>
    <t>Лампа металлогалогеновая (HQI-TS   70 NDL)</t>
  </si>
  <si>
    <t>Лампа металлогалогеновая (HQI-TS 150 NDL)</t>
  </si>
  <si>
    <t>СВЕТОДИОДЫ</t>
  </si>
  <si>
    <t>БЛОКИ ПИТАНИЯ / КОНТРОЛЛЕРЫ</t>
  </si>
  <si>
    <t>Блок питания/12 В/ 55Вт</t>
  </si>
  <si>
    <t>Блок питания/12 В/150Вт</t>
  </si>
  <si>
    <t>Блок питания/12 В/300 Вт</t>
  </si>
  <si>
    <t>Блок питания/герметичный/12 В/ 30Вт</t>
  </si>
  <si>
    <t>Блок питания/герметичный/12 В/ 60Вт</t>
  </si>
  <si>
    <t>Блок питания/герметичный/12 В/100Вт</t>
  </si>
  <si>
    <t>Блок питания/герметичный/12 В/150Вт</t>
  </si>
  <si>
    <t>Блок питания/герметичный/12 В/200Вт</t>
  </si>
  <si>
    <t>Контроллер для светодиодов RGB 12V 180W 3-кан</t>
  </si>
  <si>
    <t>МОДУЛИ SMD</t>
  </si>
  <si>
    <t>Модуль светодиод /3 диода/белы/цвет/0,24 Вт</t>
  </si>
  <si>
    <t>Модуль светодиод /RGB/9 диода/0,74 Вт</t>
  </si>
  <si>
    <t>Линейка  светодиодная гибкая/18 диодов/белая/цвет/30см</t>
  </si>
  <si>
    <t>СТРОБОСКОПЫ</t>
  </si>
  <si>
    <t>Стробоскоп (зел/бел/желт/красн/синий)</t>
  </si>
  <si>
    <t>ШТЕНДЕРЫ</t>
  </si>
  <si>
    <t>2*0,8 м</t>
  </si>
  <si>
    <t>Стойка рекламная/2х0,8/бел/красн/син/черная</t>
  </si>
  <si>
    <t>КВАДРАТНЫЙ 1,2*0,6</t>
  </si>
  <si>
    <t>Стойка рекламная/1,2*0,6/бел/красн/син/черная</t>
  </si>
  <si>
    <t>ПОЛУКРУГЛЫЙ 1,3*0,6</t>
  </si>
  <si>
    <t>Стойка рекламная/1,3*0,6/бел/красн/син/черная</t>
  </si>
  <si>
    <t>Стойка "Малютка" 0,96*0,55</t>
  </si>
  <si>
    <t>Стойка "Малютка" 0,96*0,55 /бел/красн/син/черная</t>
  </si>
  <si>
    <t>Вернуться к оглавлению</t>
  </si>
  <si>
    <t>ЛЮВЕРСЫ, СКОТЧ, КЛЕЙ, ОЧИСТИТЕЛЬ</t>
  </si>
  <si>
    <t>КЛЕИ</t>
  </si>
  <si>
    <t>КЛЕЙ / COSMOFEN CA 12 / 20 г</t>
  </si>
  <si>
    <t>КЛЕЙ / COSMOFEN CA 12 / 50 г</t>
  </si>
  <si>
    <t>КЛЕЙ / COSMOFEN PMMA для акрила / 200 г</t>
  </si>
  <si>
    <t>КЛЕЙ / COSMOFENPLUS HV прозрачный / 200 г</t>
  </si>
  <si>
    <t>КЛЕЙ / COSMOFENPLUS белый / 200 г</t>
  </si>
  <si>
    <t>Клей СУПЕР-НН 1 л</t>
  </si>
  <si>
    <t>КЛЕЙ/  WIND SPID /50 г</t>
  </si>
  <si>
    <t>ОЧИСТИТЕЛИ</t>
  </si>
  <si>
    <t>ОЧИСТИТЕЛЬ / COSMOFEN  5 / 1000 ml</t>
  </si>
  <si>
    <t>ОЧИСТИТЕЛЬ / COSMOFEN 10 / 1000 ml</t>
  </si>
  <si>
    <t>ОЧИСТИТЕЛЬ / COSMOFEN 20 / 1000 ml</t>
  </si>
  <si>
    <t>СКОТЧ ДВУСТОРОННИЙ</t>
  </si>
  <si>
    <t>Скотч двусторонний Poli-Mount</t>
  </si>
  <si>
    <t>Скотч двусторонний/Poli-Mount 375/1,6 мм/9mm x 33m</t>
  </si>
  <si>
    <t>Скотч двусторонний/Poli-Mount 375/1,6мм/19mm x 33m</t>
  </si>
  <si>
    <t>Скотч двусторонний/Poli-Mount 385/1 мм/15mm x 50m</t>
  </si>
  <si>
    <t>Скотч двусторонний/Poli-Mount 385/1 мм/19mm x 50m</t>
  </si>
  <si>
    <t>Скотч двусторонний/Poli-Mount 385/1 мм/9mm x 50m</t>
  </si>
  <si>
    <t>Скотч двусторонний/Poli-Mount 390/0,9мм/12mm x 66m</t>
  </si>
  <si>
    <t>Скотч двусторонний/Poli-Mount 390/0,9мм/19mm x 66m</t>
  </si>
  <si>
    <t>Скотч двусторонний ВОМА</t>
  </si>
  <si>
    <t>Скотч двусторонний ВОМА 19мм* 5м</t>
  </si>
  <si>
    <t>Скотч двусторонний ВОМА 19мм*10м</t>
  </si>
  <si>
    <t>Скотч двусторонний ВОМА 19мм*25м</t>
  </si>
  <si>
    <t>Скотч двусторонний ВОМА 19мм*50м</t>
  </si>
  <si>
    <t>БАНЕР ламинированный/280гр/3,20 м/глянец/мат</t>
  </si>
  <si>
    <t>БАНЕР ламинированный/340гр/1,20 м/мат/гл</t>
  </si>
  <si>
    <t>БАНЕР ламинированный/340гр/1,60 м/мат/гл</t>
  </si>
  <si>
    <t>БАНЕР ламинированный/340гр/3,20 м/мат/гл</t>
  </si>
  <si>
    <t>БАНЕР ламинированный/440гр/1,20 м/мат/гл</t>
  </si>
  <si>
    <t>БАНЕР ламинированный/440гр/1,37 м/мат/гл</t>
  </si>
  <si>
    <t>БАНЕР ламинированный/440гр/1,60 м/мат/гл</t>
  </si>
  <si>
    <t>БАНЕР ламинированный/440гр/2,20 м/мат/гл</t>
  </si>
  <si>
    <t>БАНЕР ламинированный/440гр/2,50 м/мат/гл</t>
  </si>
  <si>
    <t>БАНЕР ламинированный/440гр/3,20 м/мат/гл</t>
  </si>
  <si>
    <t xml:space="preserve">ПЛЕНКИ </t>
  </si>
  <si>
    <t xml:space="preserve"> KONFLEX</t>
  </si>
  <si>
    <t>Пленка Backlit Konflex 1,52*30м 260 гр, 175 мкр, для сольвентных и экосол. чернил, прямая печать, MS-180 PETM-W без кл.слоя</t>
  </si>
  <si>
    <t>ФОТОБУМАГА</t>
  </si>
  <si>
    <t>Доллар США</t>
  </si>
  <si>
    <t>Евро</t>
  </si>
  <si>
    <t>профиль/JM/ №1/золото/серебро/ глян/3,05м</t>
  </si>
  <si>
    <t>профиль/JM/ №1/золото/серебро/ мат/3,05м</t>
  </si>
  <si>
    <t>профиль/JM/ №2/золото/серебро/ глян/3,05м</t>
  </si>
  <si>
    <t>профиль/JM/ №2/золото/серебро/мат/3,05м</t>
  </si>
  <si>
    <t>профиль/JM/№2/белый глянец/мат/3,05м</t>
  </si>
  <si>
    <t>NIELSEN/1001/1002зол.гл/мат/3м</t>
  </si>
  <si>
    <t>NIELSEN/1003/1004сер.гл/мат/3м</t>
  </si>
  <si>
    <t>NIELSEN/2001/2002/зол.гл/мат/3м</t>
  </si>
  <si>
    <t>NIELSEN/2003/2004/сер.гл/мат/3м</t>
  </si>
  <si>
    <t>Проф.ALS/130мм/2м/(бирюза,жел,зел,зол,красн,серебро,син,син.тем,черный)</t>
  </si>
  <si>
    <t>Элькамет/F обр./бел,жел,зел,золото,крас,серебро,син,черн/4м</t>
  </si>
  <si>
    <t>Элькамет/L обр./бел,желт,зелен,золото,красн,серебро,син,черн</t>
  </si>
  <si>
    <t>Композит/1,22*4000/3mm/0.21mm/зол/сереб/царап/REXBOND</t>
  </si>
  <si>
    <t>Композит/1,25*4000/3mm/0.3mm/зол/сереб/царап/REXBOND</t>
  </si>
  <si>
    <t>Полистирол 3 мм 2000х3000(красн,оранж,син,черн)</t>
  </si>
  <si>
    <t>ОГЛАВЛЕНИЕ</t>
  </si>
  <si>
    <t>Материалы для печати</t>
  </si>
  <si>
    <t>Самоклеющиеся пленки</t>
  </si>
  <si>
    <t>Пленки</t>
  </si>
  <si>
    <t>Банер</t>
  </si>
  <si>
    <t>Фотобумага</t>
  </si>
  <si>
    <t>Холст</t>
  </si>
  <si>
    <t>Oracal</t>
  </si>
  <si>
    <t>Двухсторонние</t>
  </si>
  <si>
    <t>Монтажные</t>
  </si>
  <si>
    <t>Трафаретные</t>
  </si>
  <si>
    <t>Прочие</t>
  </si>
  <si>
    <t>Листовые материалы</t>
  </si>
  <si>
    <t>Акрил молочный</t>
  </si>
  <si>
    <t>ПВХ белый</t>
  </si>
  <si>
    <t>Сотовый поликарбонат</t>
  </si>
  <si>
    <t>Монолитный поликарбонат</t>
  </si>
  <si>
    <t>Алюминиевые комп. Панели</t>
  </si>
  <si>
    <t>Полистерол</t>
  </si>
  <si>
    <t>Оргстекло прозрачное</t>
  </si>
  <si>
    <t>Пенакартон</t>
  </si>
  <si>
    <t>Профили, крепежные инс-ты</t>
  </si>
  <si>
    <t>Nielsen/Jm</t>
  </si>
  <si>
    <t>Элькамет</t>
  </si>
  <si>
    <t>Защелкивающийся проф.</t>
  </si>
  <si>
    <t>Алюм.проф. Для св.коробов</t>
  </si>
  <si>
    <t>Quattro (кватро)</t>
  </si>
  <si>
    <t>Плакатный (банерол)</t>
  </si>
  <si>
    <t>Дисплей</t>
  </si>
  <si>
    <t>Дистанционные держ.</t>
  </si>
  <si>
    <t>Профиль для поликарбоната</t>
  </si>
  <si>
    <t>Прожектор галогеновый (150 вт бел/черн)</t>
  </si>
  <si>
    <t>Прожектор галогеновый (500 вт бел/черн)</t>
  </si>
  <si>
    <t>Прожектор металогалоген серый/черн  150W</t>
  </si>
  <si>
    <t>Прожектор металогалоген  серый/черн  70W</t>
  </si>
  <si>
    <t>Светотехника</t>
  </si>
  <si>
    <t>Люминисцентные лампы</t>
  </si>
  <si>
    <t>Прожекторы</t>
  </si>
  <si>
    <t>Светодиоды</t>
  </si>
  <si>
    <t>Стробоскопы</t>
  </si>
  <si>
    <t>Штендеры</t>
  </si>
  <si>
    <t>Люверсы/пробойники</t>
  </si>
  <si>
    <t>Скотч</t>
  </si>
  <si>
    <t>Клей</t>
  </si>
  <si>
    <t>Очистители</t>
  </si>
  <si>
    <t xml:space="preserve">Для корректного отображения цен не забывайте уточнять курс валют </t>
  </si>
  <si>
    <t>http://bankir.ru/kurs/valuta</t>
  </si>
  <si>
    <t>оглавление!R1C1</t>
  </si>
  <si>
    <t>Цветной ПВХ</t>
  </si>
  <si>
    <t>ООО "ЭрТи" / www.rt32.ru  /Рублевское ш. 68А / тел. 8-499-709-55-11, 8926-810-53-01 / rt-m@bk.ru</t>
  </si>
  <si>
    <t>ВНИМАНИЕ! ДЛЯ КОРРЕКТНОГО ОТОБРАЖЕНИЯ ЦЕН В РУБЛЯХ, ВВЕДИТЕ КУРС ВАЛЮТ НА СТР.ОГЛАВЛЕНИЯ.</t>
  </si>
  <si>
    <t>опт</t>
  </si>
  <si>
    <t>Пленка ТМ 3100 (1,24) световозврат</t>
  </si>
  <si>
    <t>ТМ 3100 (1,24*45,7) белая,синяя.красная.желтая</t>
  </si>
  <si>
    <t>ПЭТ прозрачный/VIKUPAT/0,5 мм/1250*2050</t>
  </si>
  <si>
    <t>ПЭТ прозрачный/VIKUPAT/0,75 мм/1250*2050</t>
  </si>
  <si>
    <t>ПЭТ прозрачный/VIKUPAT/1 мм/1250*2050</t>
  </si>
  <si>
    <t>20,542,25</t>
  </si>
  <si>
    <t>21,285,5</t>
  </si>
  <si>
    <t>15,36,75</t>
  </si>
  <si>
    <t>Модуль светодиод /4 диода/белый/0,48 Вт</t>
  </si>
  <si>
    <t>Модуль светодиод /4 диода/цвет/0,48 Вт</t>
  </si>
  <si>
    <t>Лента светод. влагозащ/300 диодов/белая/5 метр</t>
  </si>
  <si>
    <t>Лента светод. влагозащ/ 30 диодов/белая/50см</t>
  </si>
  <si>
    <t>СВЕТОДИОДНЫЕ ЛИНЕЙКИ / ЛЕНТЫ</t>
  </si>
  <si>
    <t>розница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</si>
</sst>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&quot; м.&quot;"/>
    <numFmt numFmtId="166" formatCode="0&quot; шт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 руб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10"/>
      <color indexed="9"/>
      <name val="Arial"/>
      <family val="2"/>
    </font>
    <font>
      <b/>
      <sz val="11"/>
      <color indexed="8"/>
      <name val="Arial"/>
      <family val="2"/>
    </font>
    <font>
      <u val="single"/>
      <sz val="11"/>
      <color indexed="17"/>
      <name val="Calibri"/>
      <family val="2"/>
    </font>
    <font>
      <b/>
      <i/>
      <sz val="11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1" tint="0.04998999834060669"/>
      <name val="Arial"/>
      <family val="2"/>
    </font>
    <font>
      <b/>
      <i/>
      <sz val="10"/>
      <color theme="0"/>
      <name val="Arial"/>
      <family val="2"/>
    </font>
    <font>
      <b/>
      <sz val="11"/>
      <color rgb="FF000000"/>
      <name val="Arial"/>
      <family val="2"/>
    </font>
    <font>
      <u val="single"/>
      <sz val="11"/>
      <color rgb="FF00B050"/>
      <name val="Calibri"/>
      <family val="2"/>
    </font>
    <font>
      <b/>
      <i/>
      <sz val="11"/>
      <color theme="0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20"/>
      <color theme="1"/>
      <name val="Calibri"/>
      <family val="2"/>
    </font>
    <font>
      <b/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3" fillId="34" borderId="10" xfId="0" applyFont="1" applyFill="1" applyBorder="1" applyAlignment="1">
      <alignment vertical="top" wrapText="1"/>
    </xf>
    <xf numFmtId="0" fontId="0" fillId="35" borderId="10" xfId="0" applyFill="1" applyBorder="1" applyAlignment="1">
      <alignment/>
    </xf>
    <xf numFmtId="0" fontId="53" fillId="33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right" vertical="center"/>
    </xf>
    <xf numFmtId="0" fontId="3" fillId="36" borderId="10" xfId="0" applyFont="1" applyFill="1" applyBorder="1" applyAlignment="1">
      <alignment vertical="top" wrapText="1"/>
    </xf>
    <xf numFmtId="165" fontId="54" fillId="0" borderId="10" xfId="0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166" fontId="54" fillId="0" borderId="10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vertical="top" wrapText="1"/>
    </xf>
    <xf numFmtId="164" fontId="54" fillId="0" borderId="0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37" borderId="0" xfId="0" applyFill="1" applyAlignment="1">
      <alignment/>
    </xf>
    <xf numFmtId="164" fontId="54" fillId="0" borderId="0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56" fillId="35" borderId="10" xfId="0" applyFont="1" applyFill="1" applyBorder="1" applyAlignment="1">
      <alignment vertical="top" wrapText="1"/>
    </xf>
    <xf numFmtId="0" fontId="35" fillId="35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8" borderId="0" xfId="0" applyFill="1" applyAlignment="1">
      <alignment/>
    </xf>
    <xf numFmtId="0" fontId="57" fillId="0" borderId="0" xfId="0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Fill="1" applyBorder="1" applyAlignment="1">
      <alignment/>
    </xf>
    <xf numFmtId="0" fontId="39" fillId="37" borderId="0" xfId="42" applyFill="1" applyBorder="1" applyAlignment="1" applyProtection="1">
      <alignment/>
      <protection/>
    </xf>
    <xf numFmtId="0" fontId="58" fillId="37" borderId="0" xfId="42" applyFont="1" applyFill="1" applyBorder="1" applyAlignment="1" applyProtection="1">
      <alignment/>
      <protection/>
    </xf>
    <xf numFmtId="0" fontId="0" fillId="38" borderId="0" xfId="0" applyFill="1" applyAlignment="1">
      <alignment/>
    </xf>
    <xf numFmtId="0" fontId="0" fillId="33" borderId="10" xfId="0" applyFill="1" applyBorder="1" applyAlignment="1">
      <alignment/>
    </xf>
    <xf numFmtId="0" fontId="44" fillId="0" borderId="0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60" fillId="35" borderId="10" xfId="0" applyFont="1" applyFill="1" applyBorder="1" applyAlignment="1">
      <alignment/>
    </xf>
    <xf numFmtId="0" fontId="61" fillId="39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2" fillId="0" borderId="11" xfId="0" applyFont="1" applyBorder="1" applyAlignment="1">
      <alignment horizontal="right" vertical="center"/>
    </xf>
    <xf numFmtId="0" fontId="54" fillId="0" borderId="11" xfId="0" applyFont="1" applyBorder="1" applyAlignment="1">
      <alignment horizontal="right" vertical="center"/>
    </xf>
    <xf numFmtId="0" fontId="54" fillId="33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right" vertical="center"/>
    </xf>
    <xf numFmtId="0" fontId="54" fillId="33" borderId="12" xfId="0" applyFont="1" applyFill="1" applyBorder="1" applyAlignment="1">
      <alignment horizontal="right" vertical="center"/>
    </xf>
    <xf numFmtId="165" fontId="54" fillId="33" borderId="10" xfId="0" applyNumberFormat="1" applyFont="1" applyFill="1" applyBorder="1" applyAlignment="1">
      <alignment horizontal="right" vertical="center"/>
    </xf>
    <xf numFmtId="166" fontId="54" fillId="33" borderId="10" xfId="0" applyNumberFormat="1" applyFont="1" applyFill="1" applyBorder="1" applyAlignment="1">
      <alignment horizontal="right" vertical="center"/>
    </xf>
    <xf numFmtId="44" fontId="61" fillId="39" borderId="0" xfId="0" applyNumberFormat="1" applyFont="1" applyFill="1" applyBorder="1" applyAlignment="1">
      <alignment/>
    </xf>
    <xf numFmtId="44" fontId="0" fillId="33" borderId="0" xfId="0" applyNumberFormat="1" applyFill="1" applyBorder="1" applyAlignment="1">
      <alignment/>
    </xf>
    <xf numFmtId="44" fontId="54" fillId="15" borderId="10" xfId="0" applyNumberFormat="1" applyFont="1" applyFill="1" applyBorder="1" applyAlignment="1">
      <alignment horizontal="right" vertical="center"/>
    </xf>
    <xf numFmtId="44" fontId="54" fillId="33" borderId="10" xfId="0" applyNumberFormat="1" applyFont="1" applyFill="1" applyBorder="1" applyAlignment="1">
      <alignment/>
    </xf>
    <xf numFmtId="44" fontId="54" fillId="0" borderId="10" xfId="0" applyNumberFormat="1" applyFont="1" applyBorder="1" applyAlignment="1">
      <alignment horizontal="right" vertical="center"/>
    </xf>
    <xf numFmtId="44" fontId="62" fillId="0" borderId="12" xfId="0" applyNumberFormat="1" applyFont="1" applyBorder="1" applyAlignment="1">
      <alignment horizontal="right" vertical="center"/>
    </xf>
    <xf numFmtId="44" fontId="54" fillId="37" borderId="10" xfId="0" applyNumberFormat="1" applyFont="1" applyFill="1" applyBorder="1" applyAlignment="1">
      <alignment horizontal="right" vertical="center"/>
    </xf>
    <xf numFmtId="44" fontId="0" fillId="0" borderId="0" xfId="0" applyNumberFormat="1" applyAlignment="1">
      <alignment/>
    </xf>
    <xf numFmtId="44" fontId="54" fillId="0" borderId="12" xfId="0" applyNumberFormat="1" applyFont="1" applyBorder="1" applyAlignment="1">
      <alignment horizontal="right" vertical="center"/>
    </xf>
    <xf numFmtId="0" fontId="54" fillId="33" borderId="10" xfId="0" applyFont="1" applyFill="1" applyBorder="1" applyAlignment="1">
      <alignment/>
    </xf>
    <xf numFmtId="0" fontId="54" fillId="35" borderId="10" xfId="0" applyFont="1" applyFill="1" applyBorder="1" applyAlignment="1">
      <alignment/>
    </xf>
    <xf numFmtId="0" fontId="54" fillId="37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33" borderId="10" xfId="0" applyNumberFormat="1" applyFill="1" applyBorder="1" applyAlignment="1">
      <alignment/>
    </xf>
    <xf numFmtId="44" fontId="54" fillId="37" borderId="10" xfId="0" applyNumberFormat="1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2" fillId="33" borderId="12" xfId="0" applyFont="1" applyFill="1" applyBorder="1" applyAlignment="1">
      <alignment horizontal="right" vertical="center"/>
    </xf>
    <xf numFmtId="0" fontId="54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54" fillId="33" borderId="0" xfId="0" applyFont="1" applyFill="1" applyBorder="1" applyAlignment="1">
      <alignment horizontal="center" vertical="top" wrapText="1"/>
    </xf>
    <xf numFmtId="0" fontId="54" fillId="33" borderId="0" xfId="0" applyFont="1" applyFill="1" applyBorder="1" applyAlignment="1">
      <alignment horizontal="right" vertical="center"/>
    </xf>
    <xf numFmtId="165" fontId="54" fillId="33" borderId="0" xfId="0" applyNumberFormat="1" applyFont="1" applyFill="1" applyBorder="1" applyAlignment="1">
      <alignment horizontal="right" vertical="center"/>
    </xf>
    <xf numFmtId="0" fontId="60" fillId="33" borderId="0" xfId="0" applyFont="1" applyFill="1" applyBorder="1" applyAlignment="1">
      <alignment/>
    </xf>
    <xf numFmtId="166" fontId="54" fillId="33" borderId="0" xfId="0" applyNumberFormat="1" applyFont="1" applyFill="1" applyBorder="1" applyAlignment="1">
      <alignment horizontal="right" vertical="center"/>
    </xf>
    <xf numFmtId="44" fontId="0" fillId="0" borderId="0" xfId="0" applyNumberFormat="1" applyFill="1" applyAlignment="1">
      <alignment/>
    </xf>
    <xf numFmtId="44" fontId="54" fillId="0" borderId="0" xfId="0" applyNumberFormat="1" applyFont="1" applyFill="1" applyBorder="1" applyAlignment="1">
      <alignment horizontal="right" vertical="center"/>
    </xf>
    <xf numFmtId="44" fontId="54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165" fontId="54" fillId="0" borderId="0" xfId="0" applyNumberFormat="1" applyFont="1" applyFill="1" applyBorder="1" applyAlignment="1">
      <alignment horizontal="right" vertical="center"/>
    </xf>
    <xf numFmtId="166" fontId="54" fillId="0" borderId="0" xfId="0" applyNumberFormat="1" applyFont="1" applyFill="1" applyBorder="1" applyAlignment="1">
      <alignment horizontal="right" vertical="center"/>
    </xf>
    <xf numFmtId="0" fontId="6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39" fillId="38" borderId="0" xfId="42" applyFill="1" applyAlignment="1" applyProtection="1">
      <alignment/>
      <protection/>
    </xf>
    <xf numFmtId="0" fontId="39" fillId="0" borderId="0" xfId="42" applyAlignment="1" applyProtection="1">
      <alignment/>
      <protection/>
    </xf>
    <xf numFmtId="0" fontId="0" fillId="38" borderId="0" xfId="0" applyFill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/>
    </xf>
    <xf numFmtId="0" fontId="43" fillId="33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64" fillId="3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/>
    </xf>
    <xf numFmtId="0" fontId="54" fillId="36" borderId="10" xfId="0" applyFont="1" applyFill="1" applyBorder="1" applyAlignment="1">
      <alignment/>
    </xf>
    <xf numFmtId="0" fontId="54" fillId="35" borderId="10" xfId="0" applyFont="1" applyFill="1" applyBorder="1" applyAlignment="1">
      <alignment/>
    </xf>
    <xf numFmtId="0" fontId="60" fillId="35" borderId="10" xfId="0" applyFont="1" applyFill="1" applyBorder="1" applyAlignment="1">
      <alignment/>
    </xf>
    <xf numFmtId="0" fontId="54" fillId="34" borderId="10" xfId="0" applyFont="1" applyFill="1" applyBorder="1" applyAlignment="1">
      <alignment/>
    </xf>
    <xf numFmtId="0" fontId="2" fillId="7" borderId="10" xfId="0" applyFont="1" applyFill="1" applyBorder="1" applyAlignment="1">
      <alignment horizontal="center" vertical="top" wrapText="1"/>
    </xf>
    <xf numFmtId="0" fontId="54" fillId="3" borderId="10" xfId="0" applyFont="1" applyFill="1" applyBorder="1" applyAlignment="1">
      <alignment horizontal="center" vertical="top" wrapText="1"/>
    </xf>
    <xf numFmtId="0" fontId="61" fillId="39" borderId="13" xfId="0" applyFont="1" applyFill="1" applyBorder="1" applyAlignment="1">
      <alignment/>
    </xf>
    <xf numFmtId="0" fontId="5" fillId="19" borderId="10" xfId="0" applyFont="1" applyFill="1" applyBorder="1" applyAlignment="1">
      <alignment horizontal="center" vertical="center"/>
    </xf>
    <xf numFmtId="0" fontId="39" fillId="37" borderId="0" xfId="42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2" fillId="13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nkir.ru/kurs/valu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5" max="5" width="3.421875" style="0" customWidth="1"/>
    <col min="9" max="9" width="3.421875" style="0" customWidth="1"/>
    <col min="12" max="12" width="10.28125" style="0" customWidth="1"/>
    <col min="13" max="13" width="3.421875" style="0" customWidth="1"/>
    <col min="16" max="16" width="6.28125" style="0" customWidth="1"/>
    <col min="17" max="17" width="8.00390625" style="0" customWidth="1"/>
  </cols>
  <sheetData>
    <row r="2" spans="1:17" ht="15">
      <c r="A2" s="82" t="s">
        <v>508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15">
      <c r="A3" s="76"/>
      <c r="B3" s="75" t="s">
        <v>459</v>
      </c>
      <c r="C3" s="75"/>
      <c r="D3" s="75"/>
      <c r="E3" s="75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5">
      <c r="A4" s="76"/>
      <c r="B4" s="75"/>
      <c r="C4" s="75"/>
      <c r="D4" s="75"/>
      <c r="E4" s="75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5">
      <c r="A5" s="76"/>
      <c r="B5" s="84" t="s">
        <v>460</v>
      </c>
      <c r="C5" s="85"/>
      <c r="D5" s="85"/>
      <c r="E5" s="76"/>
      <c r="F5" s="84" t="s">
        <v>471</v>
      </c>
      <c r="G5" s="85"/>
      <c r="H5" s="85"/>
      <c r="I5" s="76"/>
      <c r="J5" s="84" t="s">
        <v>480</v>
      </c>
      <c r="K5" s="85"/>
      <c r="L5" s="85"/>
      <c r="M5" s="76"/>
      <c r="N5" s="84" t="s">
        <v>494</v>
      </c>
      <c r="O5" s="85"/>
      <c r="P5" s="85"/>
      <c r="Q5" s="22"/>
    </row>
    <row r="6" spans="1:17" ht="15">
      <c r="A6" s="76"/>
      <c r="B6" s="77" t="s">
        <v>462</v>
      </c>
      <c r="C6" s="77"/>
      <c r="D6" s="77"/>
      <c r="E6" s="76"/>
      <c r="F6" s="77" t="s">
        <v>70</v>
      </c>
      <c r="G6" s="77"/>
      <c r="H6" s="77"/>
      <c r="I6" s="76"/>
      <c r="J6" s="77" t="s">
        <v>481</v>
      </c>
      <c r="K6" s="77"/>
      <c r="L6" s="77"/>
      <c r="M6" s="76"/>
      <c r="N6" s="77" t="s">
        <v>495</v>
      </c>
      <c r="O6" s="77"/>
      <c r="P6" s="77"/>
      <c r="Q6" s="22"/>
    </row>
    <row r="7" spans="1:17" ht="15">
      <c r="A7" s="76"/>
      <c r="B7" s="77" t="s">
        <v>463</v>
      </c>
      <c r="C7" s="77"/>
      <c r="D7" s="77"/>
      <c r="E7" s="76"/>
      <c r="F7" s="77" t="s">
        <v>473</v>
      </c>
      <c r="G7" s="77"/>
      <c r="H7" s="77"/>
      <c r="I7" s="76"/>
      <c r="J7" s="77" t="s">
        <v>236</v>
      </c>
      <c r="K7" s="77"/>
      <c r="L7" s="77"/>
      <c r="M7" s="76"/>
      <c r="N7" s="77" t="s">
        <v>496</v>
      </c>
      <c r="O7" s="77"/>
      <c r="P7" s="77"/>
      <c r="Q7" s="22"/>
    </row>
    <row r="8" spans="1:17" ht="15">
      <c r="A8" s="76"/>
      <c r="B8" s="77" t="s">
        <v>464</v>
      </c>
      <c r="C8" s="77"/>
      <c r="D8" s="77"/>
      <c r="E8" s="76"/>
      <c r="F8" s="77" t="s">
        <v>472</v>
      </c>
      <c r="G8" s="77"/>
      <c r="H8" s="77"/>
      <c r="I8" s="76"/>
      <c r="J8" s="77" t="s">
        <v>482</v>
      </c>
      <c r="K8" s="77"/>
      <c r="L8" s="77"/>
      <c r="M8" s="76"/>
      <c r="N8" s="77" t="s">
        <v>497</v>
      </c>
      <c r="O8" s="77"/>
      <c r="P8" s="77"/>
      <c r="Q8" s="22"/>
    </row>
    <row r="9" spans="1:17" ht="15">
      <c r="A9" s="76"/>
      <c r="B9" s="77" t="s">
        <v>465</v>
      </c>
      <c r="C9" s="77"/>
      <c r="D9" s="77"/>
      <c r="E9" s="76"/>
      <c r="F9" s="77" t="s">
        <v>474</v>
      </c>
      <c r="G9" s="77"/>
      <c r="H9" s="77"/>
      <c r="I9" s="76"/>
      <c r="J9" s="77" t="s">
        <v>483</v>
      </c>
      <c r="K9" s="77"/>
      <c r="L9" s="77"/>
      <c r="M9" s="76"/>
      <c r="N9" s="77" t="s">
        <v>498</v>
      </c>
      <c r="O9" s="77"/>
      <c r="P9" s="77"/>
      <c r="Q9" s="22"/>
    </row>
    <row r="10" spans="1:17" ht="15">
      <c r="A10" s="76"/>
      <c r="B10" s="76"/>
      <c r="C10" s="76"/>
      <c r="D10" s="76"/>
      <c r="E10" s="76"/>
      <c r="F10" s="77" t="s">
        <v>475</v>
      </c>
      <c r="G10" s="77"/>
      <c r="H10" s="77"/>
      <c r="I10" s="76"/>
      <c r="J10" s="77" t="s">
        <v>484</v>
      </c>
      <c r="K10" s="77"/>
      <c r="L10" s="77"/>
      <c r="M10" s="76"/>
      <c r="N10" s="76"/>
      <c r="O10" s="76"/>
      <c r="P10" s="76"/>
      <c r="Q10" s="22"/>
    </row>
    <row r="11" spans="1:17" ht="15">
      <c r="A11" s="76"/>
      <c r="B11" s="84" t="s">
        <v>461</v>
      </c>
      <c r="C11" s="85"/>
      <c r="D11" s="85"/>
      <c r="E11" s="76"/>
      <c r="F11" s="77" t="s">
        <v>476</v>
      </c>
      <c r="G11" s="77"/>
      <c r="H11" s="77"/>
      <c r="I11" s="76"/>
      <c r="J11" s="77" t="s">
        <v>485</v>
      </c>
      <c r="K11" s="77"/>
      <c r="L11" s="77"/>
      <c r="M11" s="76"/>
      <c r="N11" s="77" t="s">
        <v>499</v>
      </c>
      <c r="O11" s="78"/>
      <c r="P11" s="78"/>
      <c r="Q11" s="22"/>
    </row>
    <row r="12" spans="1:17" ht="15">
      <c r="A12" s="76"/>
      <c r="B12" s="77" t="s">
        <v>466</v>
      </c>
      <c r="C12" s="77"/>
      <c r="D12" s="77"/>
      <c r="E12" s="76"/>
      <c r="F12" s="77" t="s">
        <v>477</v>
      </c>
      <c r="G12" s="77"/>
      <c r="H12" s="77"/>
      <c r="I12" s="76"/>
      <c r="J12" s="77" t="s">
        <v>486</v>
      </c>
      <c r="K12" s="77"/>
      <c r="L12" s="77"/>
      <c r="M12" s="76"/>
      <c r="N12" s="77" t="s">
        <v>500</v>
      </c>
      <c r="O12" s="78"/>
      <c r="P12" s="78"/>
      <c r="Q12" s="22"/>
    </row>
    <row r="13" spans="1:17" ht="15">
      <c r="A13" s="76"/>
      <c r="B13" s="77" t="s">
        <v>467</v>
      </c>
      <c r="C13" s="77"/>
      <c r="D13" s="77"/>
      <c r="E13" s="76"/>
      <c r="F13" s="77" t="s">
        <v>478</v>
      </c>
      <c r="G13" s="77"/>
      <c r="H13" s="77"/>
      <c r="I13" s="76"/>
      <c r="J13" s="77" t="s">
        <v>487</v>
      </c>
      <c r="K13" s="77"/>
      <c r="L13" s="77"/>
      <c r="M13" s="76"/>
      <c r="N13" s="77" t="s">
        <v>501</v>
      </c>
      <c r="O13" s="78"/>
      <c r="P13" s="78"/>
      <c r="Q13" s="22"/>
    </row>
    <row r="14" spans="1:17" ht="15">
      <c r="A14" s="76"/>
      <c r="B14" s="77" t="s">
        <v>468</v>
      </c>
      <c r="C14" s="77"/>
      <c r="D14" s="77"/>
      <c r="E14" s="76"/>
      <c r="F14" s="77" t="s">
        <v>479</v>
      </c>
      <c r="G14" s="77"/>
      <c r="H14" s="77"/>
      <c r="I14" s="76"/>
      <c r="J14" s="77" t="s">
        <v>488</v>
      </c>
      <c r="K14" s="77"/>
      <c r="L14" s="77"/>
      <c r="M14" s="76"/>
      <c r="N14" s="77" t="s">
        <v>502</v>
      </c>
      <c r="O14" s="78"/>
      <c r="P14" s="78"/>
      <c r="Q14" s="22"/>
    </row>
    <row r="15" spans="1:17" ht="15">
      <c r="A15" s="76"/>
      <c r="B15" s="77" t="s">
        <v>469</v>
      </c>
      <c r="C15" s="77"/>
      <c r="D15" s="77"/>
      <c r="E15" s="76"/>
      <c r="F15" s="77" t="s">
        <v>507</v>
      </c>
      <c r="G15" s="77"/>
      <c r="H15" s="77"/>
      <c r="I15" s="76"/>
      <c r="J15" s="77" t="s">
        <v>489</v>
      </c>
      <c r="K15" s="77"/>
      <c r="L15" s="77"/>
      <c r="M15" s="76"/>
      <c r="N15" s="77" t="s">
        <v>503</v>
      </c>
      <c r="O15" s="78"/>
      <c r="P15" s="78"/>
      <c r="Q15" s="22"/>
    </row>
    <row r="16" spans="1:17" ht="15">
      <c r="A16" s="76"/>
      <c r="B16" s="77" t="s">
        <v>470</v>
      </c>
      <c r="C16" s="77"/>
      <c r="D16" s="77"/>
      <c r="E16" s="76"/>
      <c r="F16" s="29"/>
      <c r="G16" s="29"/>
      <c r="H16" s="29"/>
      <c r="I16" s="76"/>
      <c r="J16" s="23"/>
      <c r="K16" s="23"/>
      <c r="L16" s="23"/>
      <c r="M16" s="76"/>
      <c r="N16" s="79"/>
      <c r="O16" s="79"/>
      <c r="P16" s="79"/>
      <c r="Q16" s="22"/>
    </row>
    <row r="17" spans="1:17" ht="15">
      <c r="A17" s="76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9" spans="2:17" ht="15">
      <c r="B19" s="81" t="s">
        <v>504</v>
      </c>
      <c r="C19" s="81"/>
      <c r="D19" s="81"/>
      <c r="E19" s="81"/>
      <c r="F19" s="81"/>
      <c r="G19" s="81"/>
      <c r="H19" s="81"/>
      <c r="I19" s="81"/>
      <c r="J19" s="81"/>
      <c r="K19" s="78" t="s">
        <v>505</v>
      </c>
      <c r="L19" s="80"/>
      <c r="M19" s="80"/>
      <c r="N19" s="80"/>
      <c r="O19" s="81" t="s">
        <v>442</v>
      </c>
      <c r="P19" s="81"/>
      <c r="Q19" s="24">
        <v>30.66</v>
      </c>
    </row>
    <row r="20" spans="15:17" ht="15">
      <c r="O20" s="81" t="s">
        <v>443</v>
      </c>
      <c r="P20" s="81"/>
      <c r="Q20" s="24">
        <v>41.688</v>
      </c>
    </row>
  </sheetData>
  <sheetProtection/>
  <mergeCells count="56">
    <mergeCell ref="A2:Q2"/>
    <mergeCell ref="O20:P20"/>
    <mergeCell ref="O19:P19"/>
    <mergeCell ref="B5:D5"/>
    <mergeCell ref="B11:D11"/>
    <mergeCell ref="F5:H5"/>
    <mergeCell ref="J5:L5"/>
    <mergeCell ref="N5:P5"/>
    <mergeCell ref="N13:P13"/>
    <mergeCell ref="N14:P14"/>
    <mergeCell ref="N15:P15"/>
    <mergeCell ref="N16:P16"/>
    <mergeCell ref="K19:N19"/>
    <mergeCell ref="B19:J19"/>
    <mergeCell ref="J12:L12"/>
    <mergeCell ref="J13:L13"/>
    <mergeCell ref="J14:L14"/>
    <mergeCell ref="J15:L15"/>
    <mergeCell ref="F15:H15"/>
    <mergeCell ref="N12:P12"/>
    <mergeCell ref="N6:P6"/>
    <mergeCell ref="N7:P7"/>
    <mergeCell ref="N8:P8"/>
    <mergeCell ref="N9:P9"/>
    <mergeCell ref="N11:P11"/>
    <mergeCell ref="F11:H11"/>
    <mergeCell ref="N10:P10"/>
    <mergeCell ref="J11:L11"/>
    <mergeCell ref="F12:H12"/>
    <mergeCell ref="F13:H13"/>
    <mergeCell ref="F14:H14"/>
    <mergeCell ref="J6:L6"/>
    <mergeCell ref="J7:L7"/>
    <mergeCell ref="J8:L8"/>
    <mergeCell ref="J9:L9"/>
    <mergeCell ref="J10:L10"/>
    <mergeCell ref="B6:D6"/>
    <mergeCell ref="B7:D7"/>
    <mergeCell ref="B8:D8"/>
    <mergeCell ref="B9:D9"/>
    <mergeCell ref="B12:D12"/>
    <mergeCell ref="F6:H6"/>
    <mergeCell ref="F7:H7"/>
    <mergeCell ref="F8:H8"/>
    <mergeCell ref="F9:H9"/>
    <mergeCell ref="F10:H10"/>
    <mergeCell ref="B3:E4"/>
    <mergeCell ref="B10:D10"/>
    <mergeCell ref="E5:E16"/>
    <mergeCell ref="I5:I16"/>
    <mergeCell ref="M5:M16"/>
    <mergeCell ref="A3:A17"/>
    <mergeCell ref="B13:D13"/>
    <mergeCell ref="B14:D14"/>
    <mergeCell ref="B15:D15"/>
    <mergeCell ref="B16:D16"/>
  </mergeCells>
  <hyperlinks>
    <hyperlink ref="K19" r:id="rId1" display="http://bankir.ru/kurs/valuta"/>
    <hyperlink ref="B6:D6" location="материалы!R5C2" display="Пленки"/>
    <hyperlink ref="B7:D7" location="материалы!R19C2" display="Банер"/>
    <hyperlink ref="B8:D8" location="материалы!R52C2" display="Фотобумага"/>
    <hyperlink ref="B9:D9" location="материалы!R57C2" display="Холст"/>
    <hyperlink ref="B12:D12" location="материалы!R62C2" display="Oracal"/>
    <hyperlink ref="B13:D13" location="материалы!R74C2" display="Двухсторонние"/>
    <hyperlink ref="B14:D14" location="материалы!R76C2" display="Монтажные"/>
    <hyperlink ref="B15:D15" location="материалы!R85C2" display="Трафаретные"/>
    <hyperlink ref="B16:D16" location="материалы!R88C2" display="Прочие"/>
    <hyperlink ref="F6:H6" location="материалы!R100C2" display="ПЭТ"/>
    <hyperlink ref="F7:H7" location="материалы!R106C2" display="ПВХ белый"/>
    <hyperlink ref="F8:H8" location="материалы!R133C2" display="Акрил молочный"/>
    <hyperlink ref="F9:H9" location="материалы!R147C2" display="Сотовый поликарбонат"/>
    <hyperlink ref="F10:H10" location="материалы!R200C2" display="Монолитный поликарбонат"/>
    <hyperlink ref="F11:H11" location="материалы!R224C2" display="Алюминиевые комп. Панели"/>
    <hyperlink ref="F12:H12" location="материалы!R237C2" display="Полистерол"/>
    <hyperlink ref="F13:H13" location="материалы!R250C2" display="Оргстекло прозрачное"/>
    <hyperlink ref="F14:H14" location="материалы!R259C2" display="Пенакартон"/>
    <hyperlink ref="J6:L6" location="материалы!R266C2" display="Nielsen/Jm"/>
    <hyperlink ref="J7:L7" location="материалы!R282C2" display="ALS"/>
    <hyperlink ref="J8:L8" location="материалы!R292C2" display="Элькамет"/>
    <hyperlink ref="J9:L9" location="материалы!R297C2" display="Защелкивающийся проф."/>
    <hyperlink ref="J10:L10" location="материалы!R304C2" display="Алюм.проф. Для св.коробов"/>
    <hyperlink ref="J11:L11" location="материалы!R311C2" display="Quattro (кватро)"/>
    <hyperlink ref="J12:L12" location="материалы!R321C2" display="Плакатный (банерол)"/>
    <hyperlink ref="J13:L13" location="материалы!R325C2" display="Дисплей"/>
    <hyperlink ref="J14:L14" location="материалы!R327C2" display="Дистанционные держ."/>
    <hyperlink ref="J15:L15" location="материалы!R331C2" display="Профиль для поликарбоната"/>
    <hyperlink ref="N6:P6" location="материалы!R396C2" display="Люминисцентные лампы"/>
    <hyperlink ref="N7:P7" location="материалы!R434C2" display="Прожекторы"/>
    <hyperlink ref="N8:P8" location="материалы!R446C2" display="Светодиоды"/>
    <hyperlink ref="N9:P9" location="материалы!R467C2" display="Стробоскопы"/>
    <hyperlink ref="N11:P11" location="материалы!R469C2" display="Штендеры"/>
    <hyperlink ref="N12:P12" location="материалы!R357C2" display="Люверсы/пробойники"/>
    <hyperlink ref="N13:P13" location="материалы!R381C2" display="Скотч"/>
    <hyperlink ref="N14:P14" location="материалы!R369C2" display="Клей"/>
    <hyperlink ref="N15:P15" location="материалы!R377C2" display="Очистители"/>
    <hyperlink ref="F15:H15" location="материалы!R247C2" display="Цветной ПВХ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50"/>
  <sheetViews>
    <sheetView showGridLines="0" zoomScalePageLayoutView="0" workbookViewId="0" topLeftCell="A1">
      <pane xSplit="1" ySplit="4" topLeftCell="B5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A4"/>
    </sheetView>
  </sheetViews>
  <sheetFormatPr defaultColWidth="9.140625" defaultRowHeight="15"/>
  <cols>
    <col min="1" max="1" width="12.00390625" style="0" customWidth="1"/>
    <col min="2" max="2" width="55.140625" style="0" customWidth="1"/>
    <col min="3" max="3" width="0.85546875" style="0" customWidth="1"/>
    <col min="4" max="4" width="11.421875" style="52" customWidth="1"/>
    <col min="5" max="5" width="6.140625" style="0" customWidth="1"/>
    <col min="6" max="6" width="0.85546875" style="22" customWidth="1"/>
    <col min="7" max="7" width="11.8515625" style="52" customWidth="1"/>
    <col min="8" max="8" width="6.140625" style="0" customWidth="1"/>
    <col min="9" max="9" width="0.85546875" style="22" customWidth="1"/>
    <col min="10" max="10" width="11.140625" style="52" customWidth="1"/>
    <col min="11" max="11" width="6.140625" style="0" customWidth="1"/>
    <col min="12" max="12" width="0.9921875" style="22" customWidth="1"/>
    <col min="13" max="13" width="9.28125" style="0" customWidth="1"/>
    <col min="16" max="16" width="19.00390625" style="0" customWidth="1"/>
  </cols>
  <sheetData>
    <row r="1" spans="2:13" ht="15">
      <c r="B1" s="97" t="s">
        <v>509</v>
      </c>
      <c r="C1" s="97"/>
      <c r="D1" s="97"/>
      <c r="E1" s="97"/>
      <c r="F1" s="36"/>
      <c r="G1" s="45"/>
      <c r="H1" s="36"/>
      <c r="I1" s="60"/>
      <c r="J1" s="45"/>
      <c r="K1" s="36"/>
      <c r="L1" s="60"/>
      <c r="M1" s="25"/>
    </row>
    <row r="2" spans="1:13" ht="15">
      <c r="A2" s="17"/>
      <c r="B2" s="32" t="s">
        <v>508</v>
      </c>
      <c r="C2" s="30"/>
      <c r="D2" s="58"/>
      <c r="E2" s="30"/>
      <c r="F2" s="37"/>
      <c r="G2" s="46"/>
      <c r="H2" s="37"/>
      <c r="I2" s="37"/>
      <c r="J2" s="46"/>
      <c r="K2" s="37"/>
      <c r="L2" s="37"/>
      <c r="M2" s="26">
        <f>оглавление!Q19</f>
        <v>30.66</v>
      </c>
    </row>
    <row r="3" spans="1:17" ht="32.25" customHeight="1">
      <c r="A3" s="99" t="s">
        <v>400</v>
      </c>
      <c r="B3" s="98" t="s">
        <v>0</v>
      </c>
      <c r="C3" s="1"/>
      <c r="D3" s="101" t="s">
        <v>1</v>
      </c>
      <c r="E3" s="101"/>
      <c r="F3" s="1"/>
      <c r="G3" s="95" t="s">
        <v>510</v>
      </c>
      <c r="H3" s="95"/>
      <c r="I3" s="1"/>
      <c r="J3" s="95" t="s">
        <v>524</v>
      </c>
      <c r="K3" s="95"/>
      <c r="L3" s="63"/>
      <c r="M3" s="31">
        <f>(оглавление!Q20)</f>
        <v>41.688</v>
      </c>
      <c r="P3" s="88"/>
      <c r="Q3" s="88"/>
    </row>
    <row r="4" spans="1:17" ht="15" customHeight="1">
      <c r="A4" s="100"/>
      <c r="B4" s="98"/>
      <c r="C4" s="2"/>
      <c r="D4" s="96" t="s">
        <v>2</v>
      </c>
      <c r="E4" s="96"/>
      <c r="F4" s="40"/>
      <c r="G4" s="96" t="s">
        <v>2</v>
      </c>
      <c r="H4" s="96"/>
      <c r="I4" s="40"/>
      <c r="J4" s="96" t="s">
        <v>2</v>
      </c>
      <c r="K4" s="96"/>
      <c r="L4" s="64"/>
      <c r="P4" s="89"/>
      <c r="Q4" s="89"/>
    </row>
    <row r="5" spans="1:17" ht="15">
      <c r="A5" s="28" t="s">
        <v>506</v>
      </c>
      <c r="B5" s="3" t="s">
        <v>438</v>
      </c>
      <c r="C5" s="4"/>
      <c r="D5" s="94"/>
      <c r="E5" s="94"/>
      <c r="F5" s="33"/>
      <c r="G5" s="94"/>
      <c r="H5" s="94"/>
      <c r="I5" s="34"/>
      <c r="J5" s="94"/>
      <c r="K5" s="94"/>
      <c r="L5" s="62"/>
      <c r="P5" s="86"/>
      <c r="Q5" s="86"/>
    </row>
    <row r="6" spans="1:17" ht="15">
      <c r="A6" s="27"/>
      <c r="B6" s="5" t="s">
        <v>36</v>
      </c>
      <c r="C6" s="2"/>
      <c r="D6" s="90"/>
      <c r="E6" s="90"/>
      <c r="F6" s="33"/>
      <c r="G6" s="90"/>
      <c r="H6" s="90"/>
      <c r="I6" s="34"/>
      <c r="J6" s="90"/>
      <c r="K6" s="90"/>
      <c r="L6" s="62"/>
      <c r="P6" s="86"/>
      <c r="Q6" s="86"/>
    </row>
    <row r="7" spans="1:17" ht="15">
      <c r="A7" s="27"/>
      <c r="B7" s="6" t="s">
        <v>37</v>
      </c>
      <c r="C7" s="2"/>
      <c r="D7" s="47">
        <f>72.9*$M$3</f>
        <v>3039.0552000000002</v>
      </c>
      <c r="E7" s="7" t="s">
        <v>6</v>
      </c>
      <c r="F7" s="41"/>
      <c r="G7" s="47">
        <f>72.9*$M$3</f>
        <v>3039.0552000000002</v>
      </c>
      <c r="H7" s="7" t="s">
        <v>6</v>
      </c>
      <c r="I7" s="41"/>
      <c r="J7" s="47">
        <f>78.49*$M$3</f>
        <v>3272.09112</v>
      </c>
      <c r="K7" s="7" t="s">
        <v>6</v>
      </c>
      <c r="L7" s="65"/>
      <c r="P7" s="70"/>
      <c r="Q7" s="15"/>
    </row>
    <row r="8" spans="1:17" ht="15">
      <c r="A8" s="27"/>
      <c r="B8" s="6" t="s">
        <v>38</v>
      </c>
      <c r="C8" s="2"/>
      <c r="D8" s="47">
        <f>91.86*$M$3</f>
        <v>3829.4596800000004</v>
      </c>
      <c r="E8" s="7" t="s">
        <v>6</v>
      </c>
      <c r="F8" s="41"/>
      <c r="G8" s="47">
        <f>91.86*$M$3</f>
        <v>3829.4596800000004</v>
      </c>
      <c r="H8" s="7" t="s">
        <v>6</v>
      </c>
      <c r="I8" s="41"/>
      <c r="J8" s="47">
        <f>98.9*$M$3</f>
        <v>4122.943200000001</v>
      </c>
      <c r="K8" s="7" t="s">
        <v>6</v>
      </c>
      <c r="L8" s="65"/>
      <c r="P8" s="70"/>
      <c r="Q8" s="15"/>
    </row>
    <row r="9" spans="1:17" ht="15">
      <c r="A9" s="27"/>
      <c r="B9" s="6" t="s">
        <v>39</v>
      </c>
      <c r="C9" s="2"/>
      <c r="D9" s="47">
        <f>99.88*$M$3</f>
        <v>4163.79744</v>
      </c>
      <c r="E9" s="7" t="s">
        <v>6</v>
      </c>
      <c r="F9" s="41"/>
      <c r="G9" s="47">
        <f>99.88*$M$3</f>
        <v>4163.79744</v>
      </c>
      <c r="H9" s="7" t="s">
        <v>6</v>
      </c>
      <c r="I9" s="41"/>
      <c r="J9" s="47">
        <f>107.53*$M$3</f>
        <v>4482.71064</v>
      </c>
      <c r="K9" s="7" t="s">
        <v>6</v>
      </c>
      <c r="L9" s="65"/>
      <c r="P9" s="70"/>
      <c r="Q9" s="15"/>
    </row>
    <row r="10" spans="1:17" ht="15">
      <c r="A10" s="27"/>
      <c r="B10" s="6" t="s">
        <v>40</v>
      </c>
      <c r="C10" s="2"/>
      <c r="D10" s="47">
        <f>110.81*$M$3</f>
        <v>4619.44728</v>
      </c>
      <c r="E10" s="7" t="s">
        <v>6</v>
      </c>
      <c r="F10" s="41"/>
      <c r="G10" s="47">
        <f>110.81*$M$3</f>
        <v>4619.44728</v>
      </c>
      <c r="H10" s="7" t="s">
        <v>6</v>
      </c>
      <c r="I10" s="41"/>
      <c r="J10" s="47">
        <f>119.3*$M$3</f>
        <v>4973.3784000000005</v>
      </c>
      <c r="K10" s="7" t="s">
        <v>6</v>
      </c>
      <c r="L10" s="65"/>
      <c r="P10" s="70"/>
      <c r="Q10" s="15"/>
    </row>
    <row r="11" spans="1:17" ht="15">
      <c r="A11" s="27"/>
      <c r="B11" s="6" t="s">
        <v>41</v>
      </c>
      <c r="C11" s="2"/>
      <c r="D11" s="47">
        <f>72.9*$M$3</f>
        <v>3039.0552000000002</v>
      </c>
      <c r="E11" s="7" t="s">
        <v>6</v>
      </c>
      <c r="F11" s="41"/>
      <c r="G11" s="47">
        <f>72.9*$M$3</f>
        <v>3039.0552000000002</v>
      </c>
      <c r="H11" s="7" t="s">
        <v>6</v>
      </c>
      <c r="I11" s="41"/>
      <c r="J11" s="47">
        <f>78.49*$M$3</f>
        <v>3272.09112</v>
      </c>
      <c r="K11" s="7" t="s">
        <v>6</v>
      </c>
      <c r="L11" s="65"/>
      <c r="P11" s="70"/>
      <c r="Q11" s="15"/>
    </row>
    <row r="12" spans="1:17" ht="15">
      <c r="A12" s="27"/>
      <c r="B12" s="6" t="s">
        <v>42</v>
      </c>
      <c r="C12" s="2"/>
      <c r="D12" s="47">
        <f>91.86*$M$3</f>
        <v>3829.4596800000004</v>
      </c>
      <c r="E12" s="7" t="s">
        <v>6</v>
      </c>
      <c r="F12" s="41"/>
      <c r="G12" s="47">
        <f>91.86*$M$3</f>
        <v>3829.4596800000004</v>
      </c>
      <c r="H12" s="7" t="s">
        <v>6</v>
      </c>
      <c r="I12" s="41"/>
      <c r="J12" s="47">
        <f>98.9*$M$3</f>
        <v>4122.943200000001</v>
      </c>
      <c r="K12" s="7" t="s">
        <v>6</v>
      </c>
      <c r="L12" s="65"/>
      <c r="P12" s="70"/>
      <c r="Q12" s="15"/>
    </row>
    <row r="13" spans="1:17" ht="15">
      <c r="A13" s="27"/>
      <c r="B13" s="6" t="s">
        <v>43</v>
      </c>
      <c r="C13" s="2"/>
      <c r="D13" s="47">
        <f>99.88*$M$3</f>
        <v>4163.79744</v>
      </c>
      <c r="E13" s="7" t="s">
        <v>6</v>
      </c>
      <c r="F13" s="41"/>
      <c r="G13" s="47">
        <f>99.88*$M$3</f>
        <v>4163.79744</v>
      </c>
      <c r="H13" s="7" t="s">
        <v>6</v>
      </c>
      <c r="I13" s="41"/>
      <c r="J13" s="47">
        <f>107.53*$M$3</f>
        <v>4482.71064</v>
      </c>
      <c r="K13" s="7" t="s">
        <v>6</v>
      </c>
      <c r="L13" s="65"/>
      <c r="P13" s="70"/>
      <c r="Q13" s="15"/>
    </row>
    <row r="14" spans="1:17" ht="15">
      <c r="A14" s="27"/>
      <c r="B14" s="6" t="s">
        <v>44</v>
      </c>
      <c r="C14" s="2"/>
      <c r="D14" s="47">
        <f>110.81*$M$3</f>
        <v>4619.44728</v>
      </c>
      <c r="E14" s="7" t="s">
        <v>6</v>
      </c>
      <c r="F14" s="41"/>
      <c r="G14" s="47">
        <f>110.81*$M$3</f>
        <v>4619.44728</v>
      </c>
      <c r="H14" s="7" t="s">
        <v>6</v>
      </c>
      <c r="I14" s="41"/>
      <c r="J14" s="47">
        <f>119.3*$M$3</f>
        <v>4973.3784000000005</v>
      </c>
      <c r="K14" s="7" t="s">
        <v>6</v>
      </c>
      <c r="L14" s="65"/>
      <c r="P14" s="70"/>
      <c r="Q14" s="15"/>
    </row>
    <row r="15" spans="1:17" ht="15">
      <c r="A15" s="27"/>
      <c r="B15" s="6" t="s">
        <v>45</v>
      </c>
      <c r="C15" s="2"/>
      <c r="D15" s="47">
        <f>145.8*$M$3</f>
        <v>6078.1104000000005</v>
      </c>
      <c r="E15" s="7" t="s">
        <v>6</v>
      </c>
      <c r="F15" s="41"/>
      <c r="G15" s="47">
        <f>145.8*$M$3</f>
        <v>6078.1104000000005</v>
      </c>
      <c r="H15" s="7" t="s">
        <v>6</v>
      </c>
      <c r="I15" s="41"/>
      <c r="J15" s="47">
        <f>156.97*$M$3</f>
        <v>6543.76536</v>
      </c>
      <c r="K15" s="7" t="s">
        <v>6</v>
      </c>
      <c r="L15" s="65"/>
      <c r="P15" s="70"/>
      <c r="Q15" s="15"/>
    </row>
    <row r="16" spans="1:17" ht="15">
      <c r="A16" s="27"/>
      <c r="B16" s="13" t="s">
        <v>439</v>
      </c>
      <c r="C16" s="2"/>
      <c r="D16" s="48"/>
      <c r="E16" s="54"/>
      <c r="F16" s="33"/>
      <c r="G16" s="48"/>
      <c r="H16" s="33"/>
      <c r="I16" s="34"/>
      <c r="J16" s="48"/>
      <c r="K16" s="33"/>
      <c r="L16" s="62"/>
      <c r="P16" s="71"/>
      <c r="Q16" s="72"/>
    </row>
    <row r="17" spans="1:17" ht="15">
      <c r="A17" s="27"/>
      <c r="B17" s="6" t="s">
        <v>27</v>
      </c>
      <c r="C17" s="2"/>
      <c r="D17" s="49">
        <v>8800.11</v>
      </c>
      <c r="E17" s="7" t="s">
        <v>6</v>
      </c>
      <c r="F17" s="41"/>
      <c r="G17" s="49">
        <v>9789.49</v>
      </c>
      <c r="H17" s="7" t="s">
        <v>6</v>
      </c>
      <c r="I17" s="41"/>
      <c r="J17" s="49">
        <v>9734.63</v>
      </c>
      <c r="K17" s="7" t="s">
        <v>6</v>
      </c>
      <c r="L17" s="65"/>
      <c r="P17" s="70"/>
      <c r="Q17" s="15"/>
    </row>
    <row r="18" spans="1:17" ht="29.25" customHeight="1">
      <c r="A18" s="27"/>
      <c r="B18" s="6" t="s">
        <v>440</v>
      </c>
      <c r="C18" s="2"/>
      <c r="D18" s="49">
        <v>6724.41</v>
      </c>
      <c r="E18" s="7" t="s">
        <v>6</v>
      </c>
      <c r="F18" s="41"/>
      <c r="G18" s="49">
        <v>6724.41</v>
      </c>
      <c r="H18" s="7" t="s">
        <v>6</v>
      </c>
      <c r="I18" s="41"/>
      <c r="J18" s="49">
        <v>7438.5</v>
      </c>
      <c r="K18" s="7" t="s">
        <v>6</v>
      </c>
      <c r="L18" s="65"/>
      <c r="P18" s="70"/>
      <c r="Q18" s="15"/>
    </row>
    <row r="19" spans="1:17" ht="15">
      <c r="A19" s="27"/>
      <c r="B19" s="3" t="s">
        <v>3</v>
      </c>
      <c r="C19" s="4"/>
      <c r="D19" s="94"/>
      <c r="E19" s="94"/>
      <c r="F19" s="33"/>
      <c r="G19" s="94"/>
      <c r="H19" s="94"/>
      <c r="I19" s="34"/>
      <c r="J19" s="94"/>
      <c r="K19" s="94"/>
      <c r="L19" s="62"/>
      <c r="P19" s="86"/>
      <c r="Q19" s="86"/>
    </row>
    <row r="20" spans="1:17" ht="15">
      <c r="A20" s="27"/>
      <c r="B20" s="5" t="s">
        <v>4</v>
      </c>
      <c r="C20" s="2"/>
      <c r="D20" s="90"/>
      <c r="E20" s="90"/>
      <c r="F20" s="33"/>
      <c r="G20" s="90"/>
      <c r="H20" s="90"/>
      <c r="I20" s="34"/>
      <c r="J20" s="90"/>
      <c r="K20" s="90"/>
      <c r="L20" s="62"/>
      <c r="P20" s="86"/>
      <c r="Q20" s="86"/>
    </row>
    <row r="21" spans="1:17" ht="15">
      <c r="A21" s="27"/>
      <c r="B21" s="6" t="s">
        <v>5</v>
      </c>
      <c r="C21" s="2"/>
      <c r="D21" s="49">
        <v>4611</v>
      </c>
      <c r="E21" s="7" t="s">
        <v>6</v>
      </c>
      <c r="F21" s="42"/>
      <c r="G21" s="50">
        <v>4815</v>
      </c>
      <c r="H21" s="38" t="s">
        <v>6</v>
      </c>
      <c r="I21" s="61"/>
      <c r="J21" s="50">
        <v>5100</v>
      </c>
      <c r="K21" s="7" t="s">
        <v>6</v>
      </c>
      <c r="L21" s="65"/>
      <c r="P21" s="70"/>
      <c r="Q21" s="15"/>
    </row>
    <row r="22" spans="1:17" ht="15">
      <c r="A22" s="27"/>
      <c r="B22" s="6" t="s">
        <v>7</v>
      </c>
      <c r="C22" s="2"/>
      <c r="D22" s="49">
        <v>5264</v>
      </c>
      <c r="E22" s="7" t="s">
        <v>6</v>
      </c>
      <c r="F22" s="42"/>
      <c r="G22" s="50">
        <v>5497</v>
      </c>
      <c r="H22" s="38" t="s">
        <v>6</v>
      </c>
      <c r="I22" s="61"/>
      <c r="J22" s="50">
        <v>5823</v>
      </c>
      <c r="K22" s="7" t="s">
        <v>6</v>
      </c>
      <c r="L22" s="65"/>
      <c r="P22" s="70"/>
      <c r="Q22" s="15"/>
    </row>
    <row r="23" spans="1:17" ht="15">
      <c r="A23" s="27"/>
      <c r="B23" s="6" t="s">
        <v>8</v>
      </c>
      <c r="C23" s="2"/>
      <c r="D23" s="49">
        <v>6148</v>
      </c>
      <c r="E23" s="7" t="s">
        <v>6</v>
      </c>
      <c r="F23" s="42"/>
      <c r="G23" s="50">
        <v>6420</v>
      </c>
      <c r="H23" s="38" t="s">
        <v>6</v>
      </c>
      <c r="I23" s="61"/>
      <c r="J23" s="50">
        <v>6800</v>
      </c>
      <c r="K23" s="7" t="s">
        <v>6</v>
      </c>
      <c r="L23" s="65"/>
      <c r="P23" s="70"/>
      <c r="Q23" s="15"/>
    </row>
    <row r="24" spans="1:17" ht="15">
      <c r="A24" s="27"/>
      <c r="B24" s="5" t="s">
        <v>9</v>
      </c>
      <c r="C24" s="2"/>
      <c r="D24" s="90"/>
      <c r="E24" s="90"/>
      <c r="F24" s="33"/>
      <c r="G24" s="90"/>
      <c r="H24" s="90"/>
      <c r="I24" s="34"/>
      <c r="J24" s="90"/>
      <c r="K24" s="90"/>
      <c r="L24" s="62"/>
      <c r="P24" s="86"/>
      <c r="Q24" s="86"/>
    </row>
    <row r="25" spans="1:17" ht="15">
      <c r="A25" s="27"/>
      <c r="B25" s="8" t="s">
        <v>10</v>
      </c>
      <c r="C25" s="2"/>
      <c r="D25" s="91"/>
      <c r="E25" s="91"/>
      <c r="F25" s="33"/>
      <c r="G25" s="91"/>
      <c r="H25" s="91"/>
      <c r="I25" s="34"/>
      <c r="J25" s="91"/>
      <c r="K25" s="91"/>
      <c r="L25" s="62"/>
      <c r="P25" s="86"/>
      <c r="Q25" s="86"/>
    </row>
    <row r="26" spans="1:17" ht="15">
      <c r="A26" s="27"/>
      <c r="B26" s="6" t="s">
        <v>428</v>
      </c>
      <c r="C26" s="2"/>
      <c r="D26" s="49">
        <v>4457</v>
      </c>
      <c r="E26" s="7" t="s">
        <v>6</v>
      </c>
      <c r="F26" s="41"/>
      <c r="G26" s="50">
        <v>4654</v>
      </c>
      <c r="H26" s="38" t="s">
        <v>6</v>
      </c>
      <c r="I26" s="61"/>
      <c r="J26" s="50">
        <v>4930</v>
      </c>
      <c r="K26" s="7" t="s">
        <v>6</v>
      </c>
      <c r="L26" s="65"/>
      <c r="P26" s="70"/>
      <c r="Q26" s="15"/>
    </row>
    <row r="27" spans="1:17" ht="15">
      <c r="A27" s="27"/>
      <c r="B27" s="8" t="s">
        <v>11</v>
      </c>
      <c r="C27" s="2"/>
      <c r="D27" s="91"/>
      <c r="E27" s="91"/>
      <c r="F27" s="33"/>
      <c r="G27" s="91"/>
      <c r="H27" s="91"/>
      <c r="I27" s="34"/>
      <c r="J27" s="91"/>
      <c r="K27" s="91"/>
      <c r="L27" s="62"/>
      <c r="P27" s="86"/>
      <c r="Q27" s="86"/>
    </row>
    <row r="28" spans="1:17" ht="15">
      <c r="A28" s="27"/>
      <c r="B28" s="6" t="s">
        <v>429</v>
      </c>
      <c r="C28" s="2"/>
      <c r="D28" s="49">
        <v>2535.72</v>
      </c>
      <c r="E28" s="7" t="s">
        <v>6</v>
      </c>
      <c r="F28" s="41"/>
      <c r="G28" s="53">
        <v>2535.72</v>
      </c>
      <c r="H28" s="39" t="s">
        <v>6</v>
      </c>
      <c r="I28" s="42"/>
      <c r="J28" s="53">
        <v>2805</v>
      </c>
      <c r="K28" s="7" t="s">
        <v>6</v>
      </c>
      <c r="L28" s="65"/>
      <c r="P28" s="70"/>
      <c r="Q28" s="15"/>
    </row>
    <row r="29" spans="1:17" ht="15">
      <c r="A29" s="27"/>
      <c r="B29" s="6" t="s">
        <v>430</v>
      </c>
      <c r="C29" s="2"/>
      <c r="D29" s="49">
        <v>2536</v>
      </c>
      <c r="E29" s="7" t="s">
        <v>6</v>
      </c>
      <c r="F29" s="41"/>
      <c r="G29" s="53">
        <v>2648</v>
      </c>
      <c r="H29" s="39" t="s">
        <v>6</v>
      </c>
      <c r="I29" s="42"/>
      <c r="J29" s="53">
        <v>2805</v>
      </c>
      <c r="K29" s="7" t="s">
        <v>6</v>
      </c>
      <c r="L29" s="65"/>
      <c r="P29" s="70"/>
      <c r="Q29" s="15"/>
    </row>
    <row r="30" spans="1:17" ht="15">
      <c r="A30" s="27"/>
      <c r="B30" s="6" t="s">
        <v>431</v>
      </c>
      <c r="C30" s="2"/>
      <c r="D30" s="49">
        <v>5072</v>
      </c>
      <c r="E30" s="7" t="s">
        <v>6</v>
      </c>
      <c r="F30" s="41"/>
      <c r="G30" s="53">
        <v>5296</v>
      </c>
      <c r="H30" s="39" t="s">
        <v>6</v>
      </c>
      <c r="I30" s="42"/>
      <c r="J30" s="53">
        <v>5610</v>
      </c>
      <c r="K30" s="7" t="s">
        <v>6</v>
      </c>
      <c r="L30" s="65"/>
      <c r="P30" s="70"/>
      <c r="Q30" s="15"/>
    </row>
    <row r="31" spans="1:17" ht="15">
      <c r="A31" s="27"/>
      <c r="B31" s="8" t="s">
        <v>12</v>
      </c>
      <c r="C31" s="2"/>
      <c r="D31" s="91"/>
      <c r="E31" s="91"/>
      <c r="F31" s="33"/>
      <c r="G31" s="91"/>
      <c r="H31" s="91"/>
      <c r="I31" s="34"/>
      <c r="J31" s="91"/>
      <c r="K31" s="91"/>
      <c r="L31" s="62"/>
      <c r="P31" s="86"/>
      <c r="Q31" s="86"/>
    </row>
    <row r="32" spans="1:17" ht="15">
      <c r="A32" s="27"/>
      <c r="B32" s="6" t="s">
        <v>432</v>
      </c>
      <c r="C32" s="2"/>
      <c r="D32" s="49">
        <v>2479</v>
      </c>
      <c r="E32" s="7" t="s">
        <v>6</v>
      </c>
      <c r="F32" s="41"/>
      <c r="G32" s="53">
        <v>2535.72</v>
      </c>
      <c r="H32" s="39" t="s">
        <v>6</v>
      </c>
      <c r="I32" s="42"/>
      <c r="J32" s="53">
        <v>2805</v>
      </c>
      <c r="K32" s="7" t="s">
        <v>6</v>
      </c>
      <c r="L32" s="65"/>
      <c r="P32" s="70"/>
      <c r="Q32" s="15"/>
    </row>
    <row r="33" spans="1:17" ht="15">
      <c r="A33" s="27"/>
      <c r="B33" s="6" t="s">
        <v>433</v>
      </c>
      <c r="C33" s="2"/>
      <c r="D33" s="49">
        <v>2698</v>
      </c>
      <c r="E33" s="7" t="s">
        <v>6</v>
      </c>
      <c r="F33" s="41"/>
      <c r="G33" s="53">
        <v>2817</v>
      </c>
      <c r="H33" s="39" t="s">
        <v>6</v>
      </c>
      <c r="I33" s="42"/>
      <c r="J33" s="53">
        <v>2387</v>
      </c>
      <c r="K33" s="7" t="s">
        <v>6</v>
      </c>
      <c r="L33" s="65"/>
      <c r="P33" s="70"/>
      <c r="Q33" s="15"/>
    </row>
    <row r="34" spans="1:17" ht="15">
      <c r="A34" s="27"/>
      <c r="B34" s="6" t="s">
        <v>434</v>
      </c>
      <c r="C34" s="2"/>
      <c r="D34" s="49">
        <v>3151</v>
      </c>
      <c r="E34" s="7" t="s">
        <v>6</v>
      </c>
      <c r="F34" s="41"/>
      <c r="G34" s="53">
        <v>3290</v>
      </c>
      <c r="H34" s="39" t="s">
        <v>6</v>
      </c>
      <c r="I34" s="42"/>
      <c r="J34" s="53">
        <v>3485</v>
      </c>
      <c r="K34" s="7" t="s">
        <v>6</v>
      </c>
      <c r="L34" s="65"/>
      <c r="P34" s="70"/>
      <c r="Q34" s="15"/>
    </row>
    <row r="35" spans="1:17" ht="15">
      <c r="A35" s="27"/>
      <c r="B35" s="6" t="s">
        <v>435</v>
      </c>
      <c r="C35" s="2"/>
      <c r="D35" s="49">
        <v>4544</v>
      </c>
      <c r="E35" s="7" t="s">
        <v>6</v>
      </c>
      <c r="F35" s="41"/>
      <c r="G35" s="53">
        <v>4745</v>
      </c>
      <c r="H35" s="39" t="s">
        <v>6</v>
      </c>
      <c r="I35" s="42"/>
      <c r="J35" s="53">
        <v>5027</v>
      </c>
      <c r="K35" s="7" t="s">
        <v>6</v>
      </c>
      <c r="L35" s="65"/>
      <c r="P35" s="70"/>
      <c r="Q35" s="15"/>
    </row>
    <row r="36" spans="1:17" ht="15">
      <c r="A36" s="27"/>
      <c r="B36" s="6" t="s">
        <v>436</v>
      </c>
      <c r="C36" s="2"/>
      <c r="D36" s="49">
        <v>5163</v>
      </c>
      <c r="E36" s="7" t="s">
        <v>6</v>
      </c>
      <c r="F36" s="41"/>
      <c r="G36" s="53">
        <v>5392</v>
      </c>
      <c r="H36" s="39" t="s">
        <v>6</v>
      </c>
      <c r="I36" s="42"/>
      <c r="J36" s="53">
        <v>5712</v>
      </c>
      <c r="K36" s="7" t="s">
        <v>6</v>
      </c>
      <c r="L36" s="65"/>
      <c r="P36" s="70"/>
      <c r="Q36" s="15"/>
    </row>
    <row r="37" spans="1:17" ht="15">
      <c r="A37" s="27"/>
      <c r="B37" s="6" t="s">
        <v>437</v>
      </c>
      <c r="C37" s="2"/>
      <c r="D37" s="49">
        <v>6609</v>
      </c>
      <c r="E37" s="7" t="s">
        <v>6</v>
      </c>
      <c r="F37" s="41"/>
      <c r="G37" s="53">
        <v>6901</v>
      </c>
      <c r="H37" s="39" t="s">
        <v>6</v>
      </c>
      <c r="I37" s="42"/>
      <c r="J37" s="53">
        <v>7310</v>
      </c>
      <c r="K37" s="7" t="s">
        <v>6</v>
      </c>
      <c r="L37" s="65"/>
      <c r="P37" s="70"/>
      <c r="Q37" s="15"/>
    </row>
    <row r="38" spans="1:17" ht="15">
      <c r="A38" s="27"/>
      <c r="B38" s="5" t="s">
        <v>13</v>
      </c>
      <c r="C38" s="2"/>
      <c r="D38" s="90"/>
      <c r="E38" s="90"/>
      <c r="F38" s="33"/>
      <c r="G38" s="90"/>
      <c r="H38" s="90"/>
      <c r="I38" s="34"/>
      <c r="J38" s="90"/>
      <c r="K38" s="90"/>
      <c r="L38" s="62"/>
      <c r="P38" s="86"/>
      <c r="Q38" s="86"/>
    </row>
    <row r="39" spans="1:17" ht="15">
      <c r="A39" s="27"/>
      <c r="B39" s="6" t="s">
        <v>14</v>
      </c>
      <c r="C39" s="2"/>
      <c r="D39" s="49">
        <v>3857</v>
      </c>
      <c r="E39" s="7" t="s">
        <v>6</v>
      </c>
      <c r="F39" s="41"/>
      <c r="G39" s="53">
        <v>4028</v>
      </c>
      <c r="H39" s="39" t="s">
        <v>6</v>
      </c>
      <c r="I39" s="42"/>
      <c r="J39" s="53">
        <v>4266</v>
      </c>
      <c r="K39" s="7" t="s">
        <v>6</v>
      </c>
      <c r="L39" s="65"/>
      <c r="P39" s="70"/>
      <c r="Q39" s="15"/>
    </row>
    <row r="40" spans="1:17" ht="15">
      <c r="A40" s="27"/>
      <c r="B40" s="6" t="s">
        <v>15</v>
      </c>
      <c r="C40" s="2"/>
      <c r="D40" s="49">
        <v>5610</v>
      </c>
      <c r="E40" s="7" t="s">
        <v>6</v>
      </c>
      <c r="F40" s="41"/>
      <c r="G40" s="53">
        <v>5858</v>
      </c>
      <c r="H40" s="39" t="s">
        <v>6</v>
      </c>
      <c r="I40" s="42"/>
      <c r="J40" s="53">
        <v>6205</v>
      </c>
      <c r="K40" s="7" t="s">
        <v>6</v>
      </c>
      <c r="L40" s="65"/>
      <c r="P40" s="70"/>
      <c r="Q40" s="15"/>
    </row>
    <row r="41" spans="1:17" ht="15">
      <c r="A41" s="27"/>
      <c r="B41" s="6" t="s">
        <v>16</v>
      </c>
      <c r="C41" s="2"/>
      <c r="D41" s="49">
        <v>8765</v>
      </c>
      <c r="E41" s="7" t="s">
        <v>6</v>
      </c>
      <c r="F41" s="41"/>
      <c r="G41" s="53">
        <v>9153</v>
      </c>
      <c r="H41" s="39" t="s">
        <v>6</v>
      </c>
      <c r="I41" s="42"/>
      <c r="J41" s="53">
        <v>9696</v>
      </c>
      <c r="K41" s="7" t="s">
        <v>6</v>
      </c>
      <c r="L41" s="65"/>
      <c r="P41" s="70"/>
      <c r="Q41" s="15"/>
    </row>
    <row r="42" spans="1:17" ht="15">
      <c r="A42" s="27"/>
      <c r="B42" s="6" t="s">
        <v>17</v>
      </c>
      <c r="C42" s="2"/>
      <c r="D42" s="49">
        <v>11219</v>
      </c>
      <c r="E42" s="7" t="s">
        <v>6</v>
      </c>
      <c r="F42" s="41"/>
      <c r="G42" s="53">
        <v>11716</v>
      </c>
      <c r="H42" s="39" t="s">
        <v>6</v>
      </c>
      <c r="I42" s="42"/>
      <c r="J42" s="53">
        <v>12410</v>
      </c>
      <c r="K42" s="7" t="s">
        <v>6</v>
      </c>
      <c r="L42" s="65"/>
      <c r="P42" s="70"/>
      <c r="Q42" s="15"/>
    </row>
    <row r="43" spans="1:17" ht="15">
      <c r="A43" s="27"/>
      <c r="B43" s="5" t="s">
        <v>18</v>
      </c>
      <c r="C43" s="2"/>
      <c r="D43" s="90"/>
      <c r="E43" s="90"/>
      <c r="F43" s="33"/>
      <c r="G43" s="90"/>
      <c r="H43" s="90"/>
      <c r="I43" s="34"/>
      <c r="J43" s="90"/>
      <c r="K43" s="90"/>
      <c r="L43" s="62"/>
      <c r="P43" s="86"/>
      <c r="Q43" s="86"/>
    </row>
    <row r="44" spans="1:17" ht="15">
      <c r="A44" s="27"/>
      <c r="B44" s="6" t="s">
        <v>19</v>
      </c>
      <c r="C44" s="2"/>
      <c r="D44" s="49">
        <v>9528.16</v>
      </c>
      <c r="E44" s="7" t="s">
        <v>6</v>
      </c>
      <c r="F44" s="41"/>
      <c r="G44" s="53">
        <v>9949.76</v>
      </c>
      <c r="H44" s="39" t="s">
        <v>6</v>
      </c>
      <c r="I44" s="42"/>
      <c r="J44" s="53">
        <v>10540</v>
      </c>
      <c r="K44" s="7" t="s">
        <v>6</v>
      </c>
      <c r="L44" s="65"/>
      <c r="P44" s="70"/>
      <c r="Q44" s="15"/>
    </row>
    <row r="45" spans="1:17" ht="15">
      <c r="A45" s="27"/>
      <c r="B45" s="6" t="s">
        <v>20</v>
      </c>
      <c r="C45" s="2"/>
      <c r="D45" s="49">
        <v>10450.24</v>
      </c>
      <c r="E45" s="7" t="s">
        <v>6</v>
      </c>
      <c r="F45" s="41"/>
      <c r="G45" s="53">
        <v>10912.64</v>
      </c>
      <c r="H45" s="39" t="s">
        <v>6</v>
      </c>
      <c r="I45" s="42"/>
      <c r="J45" s="53">
        <v>11560</v>
      </c>
      <c r="K45" s="7" t="s">
        <v>6</v>
      </c>
      <c r="L45" s="65"/>
      <c r="P45" s="70"/>
      <c r="Q45" s="15"/>
    </row>
    <row r="46" spans="1:17" ht="15">
      <c r="A46" s="27"/>
      <c r="B46" s="6" t="s">
        <v>21</v>
      </c>
      <c r="C46" s="2"/>
      <c r="D46" s="49">
        <v>4723.4</v>
      </c>
      <c r="E46" s="7" t="s">
        <v>6</v>
      </c>
      <c r="F46" s="41"/>
      <c r="G46" s="53">
        <v>4932.4</v>
      </c>
      <c r="H46" s="39" t="s">
        <v>6</v>
      </c>
      <c r="I46" s="42"/>
      <c r="J46" s="53">
        <v>5225</v>
      </c>
      <c r="K46" s="7" t="s">
        <v>6</v>
      </c>
      <c r="L46" s="65"/>
      <c r="P46" s="70"/>
      <c r="Q46" s="15"/>
    </row>
    <row r="47" spans="1:17" ht="15">
      <c r="A47" s="27"/>
      <c r="B47" s="5" t="s">
        <v>22</v>
      </c>
      <c r="C47" s="2"/>
      <c r="D47" s="90"/>
      <c r="E47" s="90"/>
      <c r="F47" s="33"/>
      <c r="G47" s="90"/>
      <c r="H47" s="90"/>
      <c r="I47" s="34"/>
      <c r="J47" s="90"/>
      <c r="K47" s="90"/>
      <c r="L47" s="62"/>
      <c r="P47" s="86"/>
      <c r="Q47" s="86"/>
    </row>
    <row r="48" spans="1:17" ht="15">
      <c r="A48" s="27"/>
      <c r="B48" s="6" t="s">
        <v>23</v>
      </c>
      <c r="C48" s="2"/>
      <c r="D48" s="49">
        <v>3458</v>
      </c>
      <c r="E48" s="7" t="s">
        <v>6</v>
      </c>
      <c r="F48" s="41"/>
      <c r="G48" s="53">
        <v>3611</v>
      </c>
      <c r="H48" s="39" t="s">
        <v>6</v>
      </c>
      <c r="I48" s="42"/>
      <c r="J48" s="53">
        <v>3825</v>
      </c>
      <c r="K48" s="7" t="s">
        <v>6</v>
      </c>
      <c r="L48" s="65"/>
      <c r="P48" s="70"/>
      <c r="Q48" s="15"/>
    </row>
    <row r="49" spans="1:17" ht="15">
      <c r="A49" s="27"/>
      <c r="B49" s="6" t="s">
        <v>24</v>
      </c>
      <c r="C49" s="2"/>
      <c r="D49" s="49">
        <v>6916</v>
      </c>
      <c r="E49" s="7" t="s">
        <v>6</v>
      </c>
      <c r="F49" s="41"/>
      <c r="G49" s="53">
        <v>7222</v>
      </c>
      <c r="H49" s="39" t="s">
        <v>6</v>
      </c>
      <c r="I49" s="42"/>
      <c r="J49" s="53">
        <v>7650</v>
      </c>
      <c r="K49" s="7" t="s">
        <v>6</v>
      </c>
      <c r="L49" s="65"/>
      <c r="P49" s="70"/>
      <c r="Q49" s="15"/>
    </row>
    <row r="50" spans="1:17" ht="15">
      <c r="A50" s="27"/>
      <c r="B50" s="6" t="s">
        <v>25</v>
      </c>
      <c r="C50" s="2"/>
      <c r="D50" s="49">
        <v>4610.42</v>
      </c>
      <c r="E50" s="7" t="s">
        <v>6</v>
      </c>
      <c r="F50" s="41"/>
      <c r="G50" s="53">
        <v>5018.42</v>
      </c>
      <c r="H50" s="39" t="s">
        <v>6</v>
      </c>
      <c r="I50" s="42"/>
      <c r="J50" s="53">
        <v>5650.16</v>
      </c>
      <c r="K50" s="7" t="s">
        <v>6</v>
      </c>
      <c r="L50" s="65"/>
      <c r="P50" s="70"/>
      <c r="Q50" s="15"/>
    </row>
    <row r="51" spans="1:17" ht="15">
      <c r="A51" s="27"/>
      <c r="B51" s="6" t="s">
        <v>26</v>
      </c>
      <c r="C51" s="2"/>
      <c r="D51" s="49">
        <v>8678.4</v>
      </c>
      <c r="E51" s="7" t="s">
        <v>6</v>
      </c>
      <c r="F51" s="41"/>
      <c r="G51" s="53">
        <v>9446.4</v>
      </c>
      <c r="H51" s="39" t="s">
        <v>6</v>
      </c>
      <c r="I51" s="42"/>
      <c r="J51" s="53">
        <v>10368</v>
      </c>
      <c r="K51" s="7" t="s">
        <v>6</v>
      </c>
      <c r="L51" s="65"/>
      <c r="P51" s="70"/>
      <c r="Q51" s="15"/>
    </row>
    <row r="52" spans="1:17" ht="15">
      <c r="A52" s="27"/>
      <c r="B52" s="5" t="s">
        <v>441</v>
      </c>
      <c r="C52" s="2"/>
      <c r="D52" s="90"/>
      <c r="E52" s="90"/>
      <c r="F52" s="33"/>
      <c r="G52" s="90"/>
      <c r="H52" s="90"/>
      <c r="I52" s="34"/>
      <c r="J52" s="90"/>
      <c r="K52" s="90"/>
      <c r="L52" s="62"/>
      <c r="P52" s="86"/>
      <c r="Q52" s="86"/>
    </row>
    <row r="53" spans="1:17" ht="15">
      <c r="A53" s="27"/>
      <c r="B53" s="6" t="s">
        <v>28</v>
      </c>
      <c r="C53" s="2"/>
      <c r="D53" s="49">
        <v>2051.25</v>
      </c>
      <c r="E53" s="7" t="s">
        <v>6</v>
      </c>
      <c r="F53" s="41"/>
      <c r="G53" s="53">
        <v>2051.25</v>
      </c>
      <c r="H53" s="39" t="s">
        <v>6</v>
      </c>
      <c r="I53" s="42"/>
      <c r="J53" s="53">
        <v>2269.08</v>
      </c>
      <c r="K53" s="7" t="s">
        <v>6</v>
      </c>
      <c r="L53" s="65"/>
      <c r="P53" s="70"/>
      <c r="Q53" s="15"/>
    </row>
    <row r="54" spans="1:17" ht="15">
      <c r="A54" s="27"/>
      <c r="B54" s="6" t="s">
        <v>29</v>
      </c>
      <c r="C54" s="2"/>
      <c r="D54" s="49">
        <v>2051.25</v>
      </c>
      <c r="E54" s="7" t="s">
        <v>6</v>
      </c>
      <c r="F54" s="41"/>
      <c r="G54" s="53">
        <v>2051.25</v>
      </c>
      <c r="H54" s="39" t="s">
        <v>6</v>
      </c>
      <c r="I54" s="42"/>
      <c r="J54" s="53">
        <v>2269.08</v>
      </c>
      <c r="K54" s="7" t="s">
        <v>6</v>
      </c>
      <c r="L54" s="65"/>
      <c r="P54" s="70"/>
      <c r="Q54" s="15"/>
    </row>
    <row r="55" spans="1:17" ht="15">
      <c r="A55" s="27"/>
      <c r="B55" s="6" t="s">
        <v>30</v>
      </c>
      <c r="C55" s="2"/>
      <c r="D55" s="49">
        <v>2434.66</v>
      </c>
      <c r="E55" s="7" t="s">
        <v>6</v>
      </c>
      <c r="F55" s="41"/>
      <c r="G55" s="53">
        <v>2434.66</v>
      </c>
      <c r="H55" s="39" t="s">
        <v>6</v>
      </c>
      <c r="I55" s="42"/>
      <c r="J55" s="53">
        <v>2693.2</v>
      </c>
      <c r="K55" s="7" t="s">
        <v>6</v>
      </c>
      <c r="L55" s="65"/>
      <c r="P55" s="70"/>
      <c r="Q55" s="15"/>
    </row>
    <row r="56" spans="1:17" ht="15">
      <c r="A56" s="27"/>
      <c r="B56" s="6" t="s">
        <v>31</v>
      </c>
      <c r="C56" s="2"/>
      <c r="D56" s="49">
        <v>2434.66</v>
      </c>
      <c r="E56" s="7" t="s">
        <v>6</v>
      </c>
      <c r="F56" s="41"/>
      <c r="G56" s="53">
        <v>2434.66</v>
      </c>
      <c r="H56" s="39" t="s">
        <v>6</v>
      </c>
      <c r="I56" s="42"/>
      <c r="J56" s="53">
        <v>2693.2</v>
      </c>
      <c r="K56" s="7" t="s">
        <v>6</v>
      </c>
      <c r="L56" s="65"/>
      <c r="P56" s="70"/>
      <c r="Q56" s="15"/>
    </row>
    <row r="57" spans="1:17" ht="15">
      <c r="A57" s="27"/>
      <c r="B57" s="5" t="s">
        <v>32</v>
      </c>
      <c r="C57" s="2"/>
      <c r="D57" s="90"/>
      <c r="E57" s="90"/>
      <c r="F57" s="33"/>
      <c r="G57" s="90"/>
      <c r="H57" s="90"/>
      <c r="I57" s="34"/>
      <c r="J57" s="90"/>
      <c r="K57" s="90"/>
      <c r="L57" s="62"/>
      <c r="P57" s="86"/>
      <c r="Q57" s="86"/>
    </row>
    <row r="58" spans="1:17" ht="15">
      <c r="A58" s="27"/>
      <c r="B58" s="6" t="s">
        <v>33</v>
      </c>
      <c r="C58" s="2"/>
      <c r="D58" s="49">
        <v>2824.26</v>
      </c>
      <c r="E58" s="7" t="s">
        <v>6</v>
      </c>
      <c r="F58" s="41"/>
      <c r="G58" s="53">
        <v>2824.26</v>
      </c>
      <c r="H58" s="39" t="s">
        <v>6</v>
      </c>
      <c r="I58" s="42"/>
      <c r="J58" s="53">
        <v>3124.18</v>
      </c>
      <c r="K58" s="7" t="s">
        <v>6</v>
      </c>
      <c r="L58" s="65"/>
      <c r="P58" s="70"/>
      <c r="Q58" s="15"/>
    </row>
    <row r="59" spans="1:17" ht="15">
      <c r="A59" s="27"/>
      <c r="B59" s="6" t="s">
        <v>34</v>
      </c>
      <c r="C59" s="2"/>
      <c r="D59" s="49">
        <v>4169.14</v>
      </c>
      <c r="E59" s="7" t="s">
        <v>6</v>
      </c>
      <c r="F59" s="41"/>
      <c r="G59" s="53">
        <v>4169.14</v>
      </c>
      <c r="H59" s="39" t="s">
        <v>6</v>
      </c>
      <c r="I59" s="42"/>
      <c r="J59" s="53">
        <v>4611.88</v>
      </c>
      <c r="K59" s="7" t="s">
        <v>6</v>
      </c>
      <c r="L59" s="65"/>
      <c r="P59" s="70"/>
      <c r="Q59" s="15"/>
    </row>
    <row r="60" spans="1:17" ht="15">
      <c r="A60" s="27"/>
      <c r="B60" s="6" t="s">
        <v>35</v>
      </c>
      <c r="C60" s="2"/>
      <c r="D60" s="49">
        <v>4169.14</v>
      </c>
      <c r="E60" s="7" t="s">
        <v>6</v>
      </c>
      <c r="F60" s="41"/>
      <c r="G60" s="53">
        <v>4169.14</v>
      </c>
      <c r="H60" s="39" t="s">
        <v>6</v>
      </c>
      <c r="I60" s="42"/>
      <c r="J60" s="53">
        <v>4611.88</v>
      </c>
      <c r="K60" s="7" t="s">
        <v>6</v>
      </c>
      <c r="L60" s="65"/>
      <c r="P60" s="70"/>
      <c r="Q60" s="15"/>
    </row>
    <row r="61" spans="1:17" ht="15">
      <c r="A61" s="27"/>
      <c r="B61" s="3" t="s">
        <v>46</v>
      </c>
      <c r="C61" s="4"/>
      <c r="D61" s="94"/>
      <c r="E61" s="94"/>
      <c r="F61" s="55"/>
      <c r="G61" s="92"/>
      <c r="H61" s="92"/>
      <c r="I61" s="55"/>
      <c r="J61" s="92"/>
      <c r="K61" s="92"/>
      <c r="L61" s="62"/>
      <c r="P61" s="86"/>
      <c r="Q61" s="86"/>
    </row>
    <row r="62" spans="1:17" ht="15">
      <c r="A62" s="27"/>
      <c r="B62" s="5" t="s">
        <v>47</v>
      </c>
      <c r="C62" s="2"/>
      <c r="D62" s="90"/>
      <c r="E62" s="90"/>
      <c r="F62" s="33"/>
      <c r="G62" s="90"/>
      <c r="H62" s="90"/>
      <c r="I62" s="34"/>
      <c r="J62" s="90"/>
      <c r="K62" s="90"/>
      <c r="L62" s="62"/>
      <c r="P62" s="86"/>
      <c r="Q62" s="86"/>
    </row>
    <row r="63" spans="1:17" ht="15">
      <c r="A63" s="27"/>
      <c r="B63" s="8" t="s">
        <v>48</v>
      </c>
      <c r="C63" s="2"/>
      <c r="D63" s="91"/>
      <c r="E63" s="91"/>
      <c r="F63" s="33"/>
      <c r="G63" s="91"/>
      <c r="H63" s="91"/>
      <c r="I63" s="34"/>
      <c r="J63" s="91"/>
      <c r="K63" s="91"/>
      <c r="L63" s="62"/>
      <c r="P63" s="86"/>
      <c r="Q63" s="86"/>
    </row>
    <row r="64" spans="1:17" ht="15">
      <c r="A64" s="27"/>
      <c r="B64" s="6" t="s">
        <v>49</v>
      </c>
      <c r="C64" s="2"/>
      <c r="D64" s="47">
        <f>3.98*$M$3</f>
        <v>165.91824</v>
      </c>
      <c r="E64" s="7" t="s">
        <v>50</v>
      </c>
      <c r="F64" s="41"/>
      <c r="G64" s="47">
        <f>4.34*$M$3</f>
        <v>180.92592</v>
      </c>
      <c r="H64" s="7" t="s">
        <v>50</v>
      </c>
      <c r="I64" s="41"/>
      <c r="J64" s="47">
        <f>4.54*$M$3</f>
        <v>189.26352</v>
      </c>
      <c r="K64" s="7" t="s">
        <v>50</v>
      </c>
      <c r="L64" s="65"/>
      <c r="P64" s="70"/>
      <c r="Q64" s="15"/>
    </row>
    <row r="65" spans="1:17" ht="15">
      <c r="A65" s="27"/>
      <c r="B65" s="6" t="s">
        <v>51</v>
      </c>
      <c r="C65" s="2"/>
      <c r="D65" s="47">
        <f>4.5*$M$3</f>
        <v>187.596</v>
      </c>
      <c r="E65" s="7" t="s">
        <v>50</v>
      </c>
      <c r="F65" s="41"/>
      <c r="G65" s="47">
        <f>4.9*$M$3</f>
        <v>204.27120000000002</v>
      </c>
      <c r="H65" s="7" t="s">
        <v>50</v>
      </c>
      <c r="I65" s="41"/>
      <c r="J65" s="47">
        <f>5.13*$M$3</f>
        <v>213.85944</v>
      </c>
      <c r="K65" s="7" t="s">
        <v>50</v>
      </c>
      <c r="L65" s="65"/>
      <c r="P65" s="70"/>
      <c r="Q65" s="15"/>
    </row>
    <row r="66" spans="1:17" ht="15">
      <c r="A66" s="27"/>
      <c r="B66" s="8" t="s">
        <v>52</v>
      </c>
      <c r="C66" s="2"/>
      <c r="D66" s="91"/>
      <c r="E66" s="91"/>
      <c r="F66" s="33"/>
      <c r="G66" s="91"/>
      <c r="H66" s="91"/>
      <c r="I66" s="34"/>
      <c r="J66" s="91"/>
      <c r="K66" s="91"/>
      <c r="L66" s="62"/>
      <c r="P66" s="86"/>
      <c r="Q66" s="86"/>
    </row>
    <row r="67" spans="1:17" ht="15">
      <c r="A67" s="27"/>
      <c r="B67" s="6" t="s">
        <v>53</v>
      </c>
      <c r="C67" s="2"/>
      <c r="D67" s="47">
        <f>1.85*$M$3</f>
        <v>77.12280000000001</v>
      </c>
      <c r="E67" s="7" t="s">
        <v>50</v>
      </c>
      <c r="F67" s="41"/>
      <c r="G67" s="47">
        <f>2.01*$M$3</f>
        <v>83.79288</v>
      </c>
      <c r="H67" s="7" t="s">
        <v>50</v>
      </c>
      <c r="I67" s="41"/>
      <c r="J67" s="47">
        <f>2.37*$M$3</f>
        <v>98.80056</v>
      </c>
      <c r="K67" s="7" t="s">
        <v>50</v>
      </c>
      <c r="L67" s="65"/>
      <c r="P67" s="70"/>
      <c r="Q67" s="15"/>
    </row>
    <row r="68" spans="1:17" ht="15">
      <c r="A68" s="27"/>
      <c r="B68" s="6" t="s">
        <v>54</v>
      </c>
      <c r="C68" s="2"/>
      <c r="D68" s="47">
        <f>2.4*$M$3</f>
        <v>100.05120000000001</v>
      </c>
      <c r="E68" s="7" t="s">
        <v>50</v>
      </c>
      <c r="F68" s="41"/>
      <c r="G68" s="47">
        <f>2.63*$M$3</f>
        <v>109.63944000000001</v>
      </c>
      <c r="H68" s="7" t="s">
        <v>50</v>
      </c>
      <c r="I68" s="41"/>
      <c r="J68" s="47">
        <f>3.15*$M$3</f>
        <v>131.3172</v>
      </c>
      <c r="K68" s="7" t="s">
        <v>50</v>
      </c>
      <c r="L68" s="65"/>
      <c r="P68" s="70"/>
      <c r="Q68" s="15"/>
    </row>
    <row r="69" spans="1:17" ht="15">
      <c r="A69" s="27"/>
      <c r="B69" s="6" t="s">
        <v>55</v>
      </c>
      <c r="C69" s="2"/>
      <c r="D69" s="47">
        <f>2.91*$M$3</f>
        <v>121.31208000000001</v>
      </c>
      <c r="E69" s="7" t="s">
        <v>50</v>
      </c>
      <c r="F69" s="41"/>
      <c r="G69" s="47">
        <f>3.19*$M$3</f>
        <v>132.98472</v>
      </c>
      <c r="H69" s="7" t="s">
        <v>50</v>
      </c>
      <c r="I69" s="41"/>
      <c r="J69" s="47">
        <f>3.63*$M$3</f>
        <v>151.32744</v>
      </c>
      <c r="K69" s="7" t="s">
        <v>50</v>
      </c>
      <c r="L69" s="65"/>
      <c r="P69" s="70"/>
      <c r="Q69" s="15"/>
    </row>
    <row r="70" spans="1:17" ht="15">
      <c r="A70" s="27"/>
      <c r="B70" s="8" t="s">
        <v>56</v>
      </c>
      <c r="C70" s="2"/>
      <c r="D70" s="91"/>
      <c r="E70" s="91"/>
      <c r="F70" s="33"/>
      <c r="G70" s="91"/>
      <c r="H70" s="91"/>
      <c r="I70" s="34"/>
      <c r="J70" s="91"/>
      <c r="K70" s="91"/>
      <c r="L70" s="62"/>
      <c r="P70" s="86"/>
      <c r="Q70" s="86"/>
    </row>
    <row r="71" spans="1:17" ht="15">
      <c r="A71" s="27"/>
      <c r="B71" s="6" t="s">
        <v>57</v>
      </c>
      <c r="C71" s="2"/>
      <c r="D71" s="47">
        <f>4.3*$M$3</f>
        <v>179.2584</v>
      </c>
      <c r="E71" s="7" t="s">
        <v>50</v>
      </c>
      <c r="F71" s="41"/>
      <c r="G71" s="47">
        <f>4.64*$M$3</f>
        <v>193.43232</v>
      </c>
      <c r="H71" s="7" t="s">
        <v>50</v>
      </c>
      <c r="I71" s="41"/>
      <c r="J71" s="47">
        <f>4.73*$M$3</f>
        <v>197.18424000000002</v>
      </c>
      <c r="K71" s="7" t="s">
        <v>50</v>
      </c>
      <c r="L71" s="65"/>
      <c r="P71" s="70"/>
      <c r="Q71" s="15"/>
    </row>
    <row r="72" spans="1:17" ht="15">
      <c r="A72" s="27"/>
      <c r="B72" s="8" t="s">
        <v>58</v>
      </c>
      <c r="C72" s="2"/>
      <c r="D72" s="91"/>
      <c r="E72" s="91"/>
      <c r="F72" s="33"/>
      <c r="G72" s="91"/>
      <c r="H72" s="91"/>
      <c r="I72" s="34"/>
      <c r="J72" s="91"/>
      <c r="K72" s="91"/>
      <c r="L72" s="62"/>
      <c r="P72" s="86"/>
      <c r="Q72" s="86"/>
    </row>
    <row r="73" spans="1:17" ht="15">
      <c r="A73" s="27"/>
      <c r="B73" s="6" t="s">
        <v>59</v>
      </c>
      <c r="C73" s="2"/>
      <c r="D73" s="47">
        <f>5.73*$M$3</f>
        <v>238.87224000000003</v>
      </c>
      <c r="E73" s="7" t="s">
        <v>50</v>
      </c>
      <c r="F73" s="41"/>
      <c r="G73" s="47">
        <f>6.19*$M$3</f>
        <v>258.04872</v>
      </c>
      <c r="H73" s="7" t="s">
        <v>50</v>
      </c>
      <c r="I73" s="41"/>
      <c r="J73" s="47">
        <f>6.69*$M$3</f>
        <v>278.89272000000005</v>
      </c>
      <c r="K73" s="7" t="s">
        <v>50</v>
      </c>
      <c r="L73" s="65"/>
      <c r="P73" s="70"/>
      <c r="Q73" s="15"/>
    </row>
    <row r="74" spans="1:17" ht="15">
      <c r="A74" s="27"/>
      <c r="B74" s="5" t="s">
        <v>60</v>
      </c>
      <c r="C74" s="2"/>
      <c r="D74" s="90"/>
      <c r="E74" s="90"/>
      <c r="F74" s="33"/>
      <c r="G74" s="90"/>
      <c r="H74" s="90"/>
      <c r="I74" s="34"/>
      <c r="J74" s="90"/>
      <c r="K74" s="90"/>
      <c r="L74" s="62"/>
      <c r="P74" s="86"/>
      <c r="Q74" s="86"/>
    </row>
    <row r="75" spans="1:17" ht="15">
      <c r="A75" s="27"/>
      <c r="B75" s="6" t="s">
        <v>61</v>
      </c>
      <c r="C75" s="2"/>
      <c r="D75" s="47">
        <f>3.84*$M$3</f>
        <v>160.08192</v>
      </c>
      <c r="E75" s="7" t="s">
        <v>50</v>
      </c>
      <c r="F75" s="41"/>
      <c r="G75" s="47">
        <f>4.16*$M$3</f>
        <v>173.42208000000002</v>
      </c>
      <c r="H75" s="7" t="s">
        <v>50</v>
      </c>
      <c r="I75" s="41"/>
      <c r="J75" s="47">
        <f>4.48*$M$3</f>
        <v>186.76224000000002</v>
      </c>
      <c r="K75" s="7" t="s">
        <v>50</v>
      </c>
      <c r="L75" s="65"/>
      <c r="P75" s="70"/>
      <c r="Q75" s="15"/>
    </row>
    <row r="76" spans="1:17" ht="15">
      <c r="A76" s="27"/>
      <c r="B76" s="5" t="s">
        <v>62</v>
      </c>
      <c r="C76" s="2"/>
      <c r="D76" s="90"/>
      <c r="E76" s="90"/>
      <c r="F76" s="33"/>
      <c r="G76" s="90"/>
      <c r="H76" s="90"/>
      <c r="I76" s="34"/>
      <c r="J76" s="90"/>
      <c r="K76" s="90"/>
      <c r="L76" s="62"/>
      <c r="P76" s="86"/>
      <c r="Q76" s="86"/>
    </row>
    <row r="77" spans="1:17" ht="15">
      <c r="A77" s="27"/>
      <c r="B77" s="6" t="s">
        <v>63</v>
      </c>
      <c r="C77" s="2"/>
      <c r="D77" s="47">
        <f>2.22*$M$3</f>
        <v>92.54736000000001</v>
      </c>
      <c r="E77" s="7" t="s">
        <v>50</v>
      </c>
      <c r="F77" s="41"/>
      <c r="G77" s="47">
        <f>2.4*$M$3</f>
        <v>100.05120000000001</v>
      </c>
      <c r="H77" s="7" t="s">
        <v>50</v>
      </c>
      <c r="I77" s="41"/>
      <c r="J77" s="47">
        <f>2.55*$M$3</f>
        <v>106.3044</v>
      </c>
      <c r="K77" s="7" t="s">
        <v>50</v>
      </c>
      <c r="L77" s="65"/>
      <c r="P77" s="70"/>
      <c r="Q77" s="15"/>
    </row>
    <row r="78" spans="1:17" ht="15">
      <c r="A78" s="27"/>
      <c r="B78" s="6" t="s">
        <v>64</v>
      </c>
      <c r="C78" s="2"/>
      <c r="D78" s="47">
        <f>27.96*$M$3</f>
        <v>1165.5964800000002</v>
      </c>
      <c r="E78" s="9">
        <v>50</v>
      </c>
      <c r="F78" s="43"/>
      <c r="G78" s="47">
        <f>30.29*$M$3</f>
        <v>1262.72952</v>
      </c>
      <c r="H78" s="9">
        <v>50</v>
      </c>
      <c r="I78" s="43"/>
      <c r="J78" s="47">
        <f>34.72*$M$3</f>
        <v>1447.40736</v>
      </c>
      <c r="K78" s="9">
        <v>50</v>
      </c>
      <c r="L78" s="66"/>
      <c r="P78" s="70"/>
      <c r="Q78" s="73"/>
    </row>
    <row r="79" spans="1:17" ht="15">
      <c r="A79" s="27"/>
      <c r="B79" s="6" t="s">
        <v>65</v>
      </c>
      <c r="C79" s="2"/>
      <c r="D79" s="47">
        <f>55.92*$M$3</f>
        <v>2331.1929600000003</v>
      </c>
      <c r="E79" s="9">
        <v>50</v>
      </c>
      <c r="F79" s="43"/>
      <c r="G79" s="47">
        <f>60.57*$M$3</f>
        <v>2525.04216</v>
      </c>
      <c r="H79" s="9">
        <v>50</v>
      </c>
      <c r="I79" s="43"/>
      <c r="J79" s="47">
        <f>69.43*$M$3</f>
        <v>2894.3978400000005</v>
      </c>
      <c r="K79" s="9">
        <v>50</v>
      </c>
      <c r="L79" s="66"/>
      <c r="P79" s="70"/>
      <c r="Q79" s="73"/>
    </row>
    <row r="80" spans="1:17" ht="15">
      <c r="A80" s="27"/>
      <c r="B80" s="5" t="s">
        <v>511</v>
      </c>
      <c r="C80" s="2"/>
      <c r="D80" s="90"/>
      <c r="E80" s="90"/>
      <c r="F80" s="33"/>
      <c r="G80" s="90"/>
      <c r="H80" s="90"/>
      <c r="I80" s="34"/>
      <c r="J80" s="90"/>
      <c r="K80" s="90"/>
      <c r="L80" s="62"/>
      <c r="P80" s="86"/>
      <c r="Q80" s="86"/>
    </row>
    <row r="81" spans="1:17" ht="15">
      <c r="A81" s="27"/>
      <c r="B81" s="6" t="s">
        <v>512</v>
      </c>
      <c r="C81" s="2"/>
      <c r="D81" s="51">
        <f>6.26*$M$2</f>
        <v>191.9316</v>
      </c>
      <c r="E81" s="7" t="s">
        <v>50</v>
      </c>
      <c r="F81" s="41"/>
      <c r="G81" s="51">
        <f>6.78*$M$2</f>
        <v>207.87480000000002</v>
      </c>
      <c r="H81" s="7" t="s">
        <v>50</v>
      </c>
      <c r="I81" s="41"/>
      <c r="J81" s="51">
        <f>7.02*$M$2</f>
        <v>215.23319999999998</v>
      </c>
      <c r="K81" s="7" t="s">
        <v>50</v>
      </c>
      <c r="L81" s="65"/>
      <c r="P81" s="70"/>
      <c r="Q81" s="15"/>
    </row>
    <row r="82" spans="1:17" ht="15">
      <c r="A82" s="27"/>
      <c r="B82" s="5" t="s">
        <v>66</v>
      </c>
      <c r="C82" s="2"/>
      <c r="D82" s="90"/>
      <c r="E82" s="90"/>
      <c r="F82" s="33"/>
      <c r="G82" s="90"/>
      <c r="H82" s="90"/>
      <c r="I82" s="34"/>
      <c r="J82" s="90"/>
      <c r="K82" s="90"/>
      <c r="L82" s="62"/>
      <c r="P82" s="86"/>
      <c r="Q82" s="86"/>
    </row>
    <row r="83" spans="1:17" ht="15">
      <c r="A83" s="27"/>
      <c r="B83" s="6" t="s">
        <v>67</v>
      </c>
      <c r="C83" s="2"/>
      <c r="D83" s="47">
        <f>6.29*$M$3</f>
        <v>262.21752000000004</v>
      </c>
      <c r="E83" s="7" t="s">
        <v>50</v>
      </c>
      <c r="F83" s="41"/>
      <c r="G83" s="47">
        <f>6.48*$M$3</f>
        <v>270.13824000000005</v>
      </c>
      <c r="H83" s="7" t="s">
        <v>50</v>
      </c>
      <c r="I83" s="41"/>
      <c r="J83" s="47">
        <f>7.4*$M$3</f>
        <v>308.49120000000005</v>
      </c>
      <c r="K83" s="7" t="s">
        <v>50</v>
      </c>
      <c r="L83" s="65"/>
      <c r="P83" s="70"/>
      <c r="Q83" s="15"/>
    </row>
    <row r="84" spans="1:17" ht="15">
      <c r="A84" s="27"/>
      <c r="B84" s="6" t="s">
        <v>68</v>
      </c>
      <c r="C84" s="2"/>
      <c r="D84" s="47">
        <f>4.23*$M$3</f>
        <v>176.34024000000002</v>
      </c>
      <c r="E84" s="7" t="s">
        <v>50</v>
      </c>
      <c r="F84" s="41"/>
      <c r="G84" s="47">
        <f>5.26*$M$3</f>
        <v>219.27888000000002</v>
      </c>
      <c r="H84" s="7" t="s">
        <v>50</v>
      </c>
      <c r="I84" s="41"/>
      <c r="J84" s="47">
        <f>6.26*$M$3</f>
        <v>260.96688</v>
      </c>
      <c r="K84" s="7" t="s">
        <v>50</v>
      </c>
      <c r="L84" s="65"/>
      <c r="P84" s="70"/>
      <c r="Q84" s="15"/>
    </row>
    <row r="85" spans="1:17" ht="15">
      <c r="A85" s="27"/>
      <c r="B85" s="8" t="s">
        <v>316</v>
      </c>
      <c r="C85" s="2"/>
      <c r="D85" s="91"/>
      <c r="E85" s="91"/>
      <c r="F85" s="33"/>
      <c r="G85" s="91"/>
      <c r="H85" s="91"/>
      <c r="I85" s="34"/>
      <c r="J85" s="91"/>
      <c r="K85" s="91"/>
      <c r="L85" s="62"/>
      <c r="P85" s="86"/>
      <c r="Q85" s="86"/>
    </row>
    <row r="86" spans="1:17" ht="15">
      <c r="A86" s="27"/>
      <c r="B86" s="6" t="s">
        <v>317</v>
      </c>
      <c r="C86" s="2"/>
      <c r="D86" s="47">
        <f>5.36*$M$3</f>
        <v>223.44768000000002</v>
      </c>
      <c r="E86" s="7" t="s">
        <v>6</v>
      </c>
      <c r="F86" s="41"/>
      <c r="G86" s="47">
        <f>5.48*$M$3</f>
        <v>228.45024000000004</v>
      </c>
      <c r="H86" s="7" t="s">
        <v>6</v>
      </c>
      <c r="I86" s="41"/>
      <c r="J86" s="47">
        <f>5.08*$M$3</f>
        <v>211.77504000000002</v>
      </c>
      <c r="K86" s="7" t="s">
        <v>6</v>
      </c>
      <c r="L86" s="65"/>
      <c r="P86" s="70"/>
      <c r="Q86" s="15"/>
    </row>
    <row r="87" spans="1:17" ht="15">
      <c r="A87" s="27"/>
      <c r="B87" s="6" t="s">
        <v>318</v>
      </c>
      <c r="C87" s="2"/>
      <c r="D87" s="47">
        <f>9.82*$M$3</f>
        <v>409.37616</v>
      </c>
      <c r="E87" s="7" t="s">
        <v>6</v>
      </c>
      <c r="F87" s="41"/>
      <c r="G87" s="47">
        <f>10.69*$M$3</f>
        <v>445.64472</v>
      </c>
      <c r="H87" s="7" t="s">
        <v>6</v>
      </c>
      <c r="I87" s="41"/>
      <c r="J87" s="47">
        <f>9.3*$M$3</f>
        <v>387.69840000000005</v>
      </c>
      <c r="K87" s="7" t="s">
        <v>6</v>
      </c>
      <c r="L87" s="65"/>
      <c r="P87" s="70"/>
      <c r="Q87" s="15"/>
    </row>
    <row r="88" spans="1:17" ht="15">
      <c r="A88" s="27"/>
      <c r="B88" s="6" t="s">
        <v>319</v>
      </c>
      <c r="C88" s="2"/>
      <c r="D88" s="47">
        <f>1.2*$M$3</f>
        <v>50.025600000000004</v>
      </c>
      <c r="E88" s="7" t="s">
        <v>6</v>
      </c>
      <c r="F88" s="41"/>
      <c r="G88" s="47">
        <f>1.31*$M$3</f>
        <v>54.61128000000001</v>
      </c>
      <c r="H88" s="7" t="s">
        <v>6</v>
      </c>
      <c r="I88" s="41"/>
      <c r="J88" s="47">
        <f>1.14*$M$3</f>
        <v>47.524319999999996</v>
      </c>
      <c r="K88" s="7" t="s">
        <v>6</v>
      </c>
      <c r="L88" s="65"/>
      <c r="P88" s="70"/>
      <c r="Q88" s="15"/>
    </row>
    <row r="89" spans="1:17" ht="15">
      <c r="A89" s="27"/>
      <c r="B89" s="6" t="s">
        <v>320</v>
      </c>
      <c r="C89" s="2"/>
      <c r="D89" s="47">
        <f>1.2*$M$3</f>
        <v>50.025600000000004</v>
      </c>
      <c r="E89" s="7" t="s">
        <v>6</v>
      </c>
      <c r="F89" s="41"/>
      <c r="G89" s="47">
        <f>1.31*$M$3</f>
        <v>54.61128000000001</v>
      </c>
      <c r="H89" s="7" t="s">
        <v>6</v>
      </c>
      <c r="I89" s="41"/>
      <c r="J89" s="47">
        <f>1.14*$M$3</f>
        <v>47.524319999999996</v>
      </c>
      <c r="K89" s="7" t="s">
        <v>6</v>
      </c>
      <c r="L89" s="65"/>
      <c r="P89" s="70"/>
      <c r="Q89" s="15"/>
    </row>
    <row r="90" spans="1:17" ht="15">
      <c r="A90" s="27"/>
      <c r="B90" s="6" t="s">
        <v>321</v>
      </c>
      <c r="C90" s="2"/>
      <c r="D90" s="47">
        <f>0.88*$M$3</f>
        <v>36.68544</v>
      </c>
      <c r="E90" s="7" t="s">
        <v>6</v>
      </c>
      <c r="F90" s="41"/>
      <c r="G90" s="47">
        <f>0.95*$M$3</f>
        <v>39.6036</v>
      </c>
      <c r="H90" s="7" t="s">
        <v>6</v>
      </c>
      <c r="I90" s="41"/>
      <c r="J90" s="47">
        <f>0.83*$M$3</f>
        <v>34.60104</v>
      </c>
      <c r="K90" s="7" t="s">
        <v>6</v>
      </c>
      <c r="L90" s="65"/>
      <c r="P90" s="70"/>
      <c r="Q90" s="15"/>
    </row>
    <row r="91" spans="1:17" ht="15">
      <c r="A91" s="27"/>
      <c r="B91" s="6" t="s">
        <v>322</v>
      </c>
      <c r="C91" s="2"/>
      <c r="D91" s="47">
        <f>3.28*$M$3</f>
        <v>136.73664</v>
      </c>
      <c r="E91" s="7" t="s">
        <v>6</v>
      </c>
      <c r="F91" s="41"/>
      <c r="G91" s="47">
        <f>3.57*$M$3</f>
        <v>148.82616000000002</v>
      </c>
      <c r="H91" s="7" t="s">
        <v>6</v>
      </c>
      <c r="I91" s="41"/>
      <c r="J91" s="47">
        <f>3.11*$M$3</f>
        <v>129.64968</v>
      </c>
      <c r="K91" s="7" t="s">
        <v>6</v>
      </c>
      <c r="L91" s="65"/>
      <c r="P91" s="70"/>
      <c r="Q91" s="15"/>
    </row>
    <row r="92" spans="1:17" ht="15">
      <c r="A92" s="27"/>
      <c r="B92" s="6" t="s">
        <v>323</v>
      </c>
      <c r="C92" s="2"/>
      <c r="D92" s="47">
        <f>1.1*$M$3</f>
        <v>45.85680000000001</v>
      </c>
      <c r="E92" s="7" t="s">
        <v>6</v>
      </c>
      <c r="F92" s="41"/>
      <c r="G92" s="47">
        <f>1.2*$M$3</f>
        <v>50.025600000000004</v>
      </c>
      <c r="H92" s="7" t="s">
        <v>6</v>
      </c>
      <c r="I92" s="41"/>
      <c r="J92" s="47">
        <f>1.3*$M$3</f>
        <v>54.1944</v>
      </c>
      <c r="K92" s="7" t="s">
        <v>6</v>
      </c>
      <c r="L92" s="65"/>
      <c r="P92" s="70"/>
      <c r="Q92" s="15"/>
    </row>
    <row r="93" spans="1:17" ht="15">
      <c r="A93" s="27"/>
      <c r="B93" s="6" t="s">
        <v>324</v>
      </c>
      <c r="C93" s="2"/>
      <c r="D93" s="47">
        <f>4.2*$M$3</f>
        <v>175.08960000000002</v>
      </c>
      <c r="E93" s="7" t="s">
        <v>6</v>
      </c>
      <c r="F93" s="41"/>
      <c r="G93" s="47">
        <f>4.57*$M$3</f>
        <v>190.51416000000003</v>
      </c>
      <c r="H93" s="7" t="s">
        <v>6</v>
      </c>
      <c r="I93" s="41"/>
      <c r="J93" s="47">
        <f>4.94*$M$3</f>
        <v>205.93872000000002</v>
      </c>
      <c r="K93" s="7" t="s">
        <v>6</v>
      </c>
      <c r="L93" s="65"/>
      <c r="P93" s="70"/>
      <c r="Q93" s="15"/>
    </row>
    <row r="94" spans="1:17" ht="15">
      <c r="A94" s="27"/>
      <c r="B94" s="6" t="s">
        <v>325</v>
      </c>
      <c r="C94" s="2"/>
      <c r="D94" s="47">
        <f>5.29*$M$3</f>
        <v>220.52952000000002</v>
      </c>
      <c r="E94" s="7" t="s">
        <v>6</v>
      </c>
      <c r="F94" s="41"/>
      <c r="G94" s="47">
        <f>5.76*$M$3</f>
        <v>240.12288</v>
      </c>
      <c r="H94" s="7" t="s">
        <v>6</v>
      </c>
      <c r="I94" s="41"/>
      <c r="J94" s="47">
        <f>6.23*$M$3</f>
        <v>259.71624</v>
      </c>
      <c r="K94" s="7" t="s">
        <v>6</v>
      </c>
      <c r="L94" s="65"/>
      <c r="P94" s="70"/>
      <c r="Q94" s="15"/>
    </row>
    <row r="95" spans="1:17" ht="15">
      <c r="A95" s="27"/>
      <c r="B95" s="6" t="s">
        <v>326</v>
      </c>
      <c r="C95" s="2"/>
      <c r="D95" s="47">
        <f>4.01*$M$3</f>
        <v>167.16888</v>
      </c>
      <c r="E95" s="7" t="s">
        <v>6</v>
      </c>
      <c r="F95" s="41"/>
      <c r="G95" s="47">
        <f>4.36*$M$3</f>
        <v>181.75968000000003</v>
      </c>
      <c r="H95" s="7" t="s">
        <v>6</v>
      </c>
      <c r="I95" s="41"/>
      <c r="J95" s="47">
        <f>3.79*$M$3</f>
        <v>157.99752</v>
      </c>
      <c r="K95" s="7" t="s">
        <v>6</v>
      </c>
      <c r="L95" s="65"/>
      <c r="P95" s="70"/>
      <c r="Q95" s="15"/>
    </row>
    <row r="96" spans="1:17" ht="15">
      <c r="A96" s="27"/>
      <c r="B96" s="3" t="s">
        <v>69</v>
      </c>
      <c r="C96" s="4"/>
      <c r="D96" s="94"/>
      <c r="E96" s="94"/>
      <c r="F96" s="55"/>
      <c r="G96" s="94"/>
      <c r="H96" s="94"/>
      <c r="I96" s="55"/>
      <c r="J96" s="94"/>
      <c r="K96" s="94"/>
      <c r="L96" s="62"/>
      <c r="P96" s="86"/>
      <c r="Q96" s="86"/>
    </row>
    <row r="97" spans="1:17" ht="15">
      <c r="A97" s="27"/>
      <c r="B97" s="5" t="s">
        <v>70</v>
      </c>
      <c r="C97" s="2"/>
      <c r="D97" s="90"/>
      <c r="E97" s="90"/>
      <c r="F97" s="33"/>
      <c r="G97" s="90"/>
      <c r="H97" s="90"/>
      <c r="I97" s="34"/>
      <c r="J97" s="90"/>
      <c r="K97" s="90"/>
      <c r="L97" s="62"/>
      <c r="P97" s="86"/>
      <c r="Q97" s="86"/>
    </row>
    <row r="98" spans="1:17" ht="15">
      <c r="A98" s="27"/>
      <c r="B98" s="6" t="s">
        <v>513</v>
      </c>
      <c r="C98" s="2"/>
      <c r="D98" s="59">
        <f>9.52*$M$2</f>
        <v>291.8832</v>
      </c>
      <c r="E98" s="7" t="s">
        <v>72</v>
      </c>
      <c r="F98" s="34"/>
      <c r="G98" s="56">
        <f>10.17*$M$2</f>
        <v>311.8122</v>
      </c>
      <c r="H98" s="7" t="s">
        <v>72</v>
      </c>
      <c r="I98" s="41"/>
      <c r="J98" s="56">
        <f>11*$M$2</f>
        <v>337.26</v>
      </c>
      <c r="K98" s="7" t="s">
        <v>72</v>
      </c>
      <c r="L98" s="65"/>
      <c r="P98" s="71"/>
      <c r="Q98" s="15"/>
    </row>
    <row r="99" spans="1:17" ht="15">
      <c r="A99" s="27"/>
      <c r="B99" s="6" t="s">
        <v>514</v>
      </c>
      <c r="C99" s="2"/>
      <c r="D99" s="59">
        <f>13.77*$M$2</f>
        <v>422.1882</v>
      </c>
      <c r="E99" s="7" t="s">
        <v>72</v>
      </c>
      <c r="F99" s="34"/>
      <c r="G99" s="56">
        <f>14.27*$M$2</f>
        <v>437.5182</v>
      </c>
      <c r="H99" s="7" t="s">
        <v>72</v>
      </c>
      <c r="I99" s="41"/>
      <c r="J99" s="56">
        <f>15.92*$M$2</f>
        <v>488.1072</v>
      </c>
      <c r="K99" s="7" t="s">
        <v>72</v>
      </c>
      <c r="L99" s="65"/>
      <c r="P99" s="71"/>
      <c r="Q99" s="15"/>
    </row>
    <row r="100" spans="1:17" ht="15">
      <c r="A100" s="27"/>
      <c r="B100" s="6" t="s">
        <v>515</v>
      </c>
      <c r="C100" s="2"/>
      <c r="D100" s="59">
        <f>18.37</f>
        <v>18.37</v>
      </c>
      <c r="E100" s="7" t="s">
        <v>72</v>
      </c>
      <c r="F100" s="34"/>
      <c r="G100" s="56">
        <f>19.64*$M$2</f>
        <v>602.1624</v>
      </c>
      <c r="H100" s="7" t="s">
        <v>72</v>
      </c>
      <c r="I100" s="41"/>
      <c r="J100" s="56">
        <f>21.24*$M$2</f>
        <v>651.2184</v>
      </c>
      <c r="K100" s="7" t="s">
        <v>72</v>
      </c>
      <c r="L100" s="65"/>
      <c r="P100" s="71"/>
      <c r="Q100" s="15"/>
    </row>
    <row r="101" spans="1:17" ht="15">
      <c r="A101" s="27"/>
      <c r="B101" s="6" t="s">
        <v>71</v>
      </c>
      <c r="C101" s="2"/>
      <c r="D101" s="51">
        <f>10.5*$M$2</f>
        <v>321.93</v>
      </c>
      <c r="E101" s="7" t="s">
        <v>72</v>
      </c>
      <c r="F101" s="41"/>
      <c r="G101" s="51">
        <f>11.43*$M$2</f>
        <v>350.4438</v>
      </c>
      <c r="H101" s="7" t="s">
        <v>72</v>
      </c>
      <c r="I101" s="41"/>
      <c r="J101" s="51">
        <f>12.36*$M$2</f>
        <v>378.95759999999996</v>
      </c>
      <c r="K101" s="7" t="s">
        <v>72</v>
      </c>
      <c r="L101" s="65"/>
      <c r="P101" s="70"/>
      <c r="Q101" s="15"/>
    </row>
    <row r="102" spans="1:17" ht="15">
      <c r="A102" s="27"/>
      <c r="B102" s="6" t="s">
        <v>73</v>
      </c>
      <c r="C102" s="2"/>
      <c r="D102" s="51">
        <f>14.99*$M$2</f>
        <v>459.59340000000003</v>
      </c>
      <c r="E102" s="7" t="s">
        <v>72</v>
      </c>
      <c r="F102" s="41"/>
      <c r="G102" s="51">
        <f>16.31*$M$2</f>
        <v>500.0646</v>
      </c>
      <c r="H102" s="7" t="s">
        <v>72</v>
      </c>
      <c r="I102" s="41"/>
      <c r="J102" s="51">
        <f>17.51*$M$2</f>
        <v>536.8566000000001</v>
      </c>
      <c r="K102" s="7" t="s">
        <v>72</v>
      </c>
      <c r="L102" s="65"/>
      <c r="P102" s="70"/>
      <c r="Q102" s="15"/>
    </row>
    <row r="103" spans="1:17" ht="15">
      <c r="A103" s="27"/>
      <c r="B103" s="6" t="s">
        <v>74</v>
      </c>
      <c r="C103" s="2"/>
      <c r="D103" s="51">
        <f>22.13*$M$2</f>
        <v>678.5058</v>
      </c>
      <c r="E103" s="7" t="s">
        <v>72</v>
      </c>
      <c r="F103" s="41"/>
      <c r="G103" s="51">
        <f>24.09*$M$2</f>
        <v>738.5994</v>
      </c>
      <c r="H103" s="7" t="s">
        <v>72</v>
      </c>
      <c r="I103" s="41"/>
      <c r="J103" s="51">
        <f>25.85*$M$2</f>
        <v>792.561</v>
      </c>
      <c r="K103" s="7" t="s">
        <v>72</v>
      </c>
      <c r="L103" s="65"/>
      <c r="P103" s="70"/>
      <c r="Q103" s="15"/>
    </row>
    <row r="104" spans="1:17" ht="15">
      <c r="A104" s="27"/>
      <c r="B104" s="6" t="s">
        <v>75</v>
      </c>
      <c r="C104" s="2"/>
      <c r="D104" s="51">
        <f>31.45*$M$2</f>
        <v>964.257</v>
      </c>
      <c r="E104" s="7" t="s">
        <v>72</v>
      </c>
      <c r="F104" s="41"/>
      <c r="G104" s="51">
        <f>34.24*$M$2</f>
        <v>1049.7984000000001</v>
      </c>
      <c r="H104" s="7" t="s">
        <v>72</v>
      </c>
      <c r="I104" s="41"/>
      <c r="J104" s="51">
        <f>36.74*$M$2</f>
        <v>1126.4484</v>
      </c>
      <c r="K104" s="7" t="s">
        <v>72</v>
      </c>
      <c r="L104" s="65"/>
      <c r="P104" s="70"/>
      <c r="Q104" s="15"/>
    </row>
    <row r="105" spans="1:17" ht="15">
      <c r="A105" s="27"/>
      <c r="B105" s="6" t="s">
        <v>76</v>
      </c>
      <c r="C105" s="2"/>
      <c r="D105" s="51">
        <f>41.24*$M$2</f>
        <v>1264.4184</v>
      </c>
      <c r="E105" s="7" t="s">
        <v>72</v>
      </c>
      <c r="F105" s="41"/>
      <c r="G105" s="51">
        <f>44.89*$M$2</f>
        <v>1376.3274000000001</v>
      </c>
      <c r="H105" s="7" t="s">
        <v>72</v>
      </c>
      <c r="I105" s="41"/>
      <c r="J105" s="51">
        <f>48.17*$M$2</f>
        <v>1476.8922</v>
      </c>
      <c r="K105" s="7" t="s">
        <v>72</v>
      </c>
      <c r="L105" s="65"/>
      <c r="P105" s="70"/>
      <c r="Q105" s="15"/>
    </row>
    <row r="106" spans="1:17" ht="15">
      <c r="A106" s="27"/>
      <c r="B106" s="12" t="s">
        <v>103</v>
      </c>
      <c r="C106" s="2"/>
      <c r="D106" s="90"/>
      <c r="E106" s="90"/>
      <c r="F106" s="33"/>
      <c r="G106" s="90"/>
      <c r="H106" s="90"/>
      <c r="I106" s="34"/>
      <c r="J106" s="90"/>
      <c r="K106" s="90"/>
      <c r="L106" s="62"/>
      <c r="P106" s="86"/>
      <c r="Q106" s="86"/>
    </row>
    <row r="107" spans="1:17" ht="16.5" customHeight="1">
      <c r="A107" s="27"/>
      <c r="B107" s="6" t="s">
        <v>77</v>
      </c>
      <c r="C107" s="2"/>
      <c r="D107" s="47">
        <f>11.2*$M$3</f>
        <v>466.9056</v>
      </c>
      <c r="E107" s="7" t="s">
        <v>72</v>
      </c>
      <c r="F107" s="41"/>
      <c r="G107" s="47">
        <f>12.16*$M$3</f>
        <v>506.92608</v>
      </c>
      <c r="H107" s="7" t="s">
        <v>72</v>
      </c>
      <c r="I107" s="41"/>
      <c r="J107" s="47">
        <f>13.08*$M$3</f>
        <v>545.27904</v>
      </c>
      <c r="K107" s="7" t="s">
        <v>72</v>
      </c>
      <c r="L107" s="65"/>
      <c r="M107" s="14"/>
      <c r="N107" s="15"/>
      <c r="O107" s="16"/>
      <c r="P107" s="70"/>
      <c r="Q107" s="15"/>
    </row>
    <row r="108" spans="1:17" ht="15.75" customHeight="1">
      <c r="A108" s="27"/>
      <c r="B108" s="6" t="s">
        <v>79</v>
      </c>
      <c r="C108" s="2"/>
      <c r="D108" s="47">
        <f>16.96*P3</f>
        <v>0</v>
      </c>
      <c r="E108" s="7" t="s">
        <v>72</v>
      </c>
      <c r="F108" s="41"/>
      <c r="G108" s="47">
        <f>18.41*$M$3</f>
        <v>767.47608</v>
      </c>
      <c r="H108" s="7" t="s">
        <v>72</v>
      </c>
      <c r="I108" s="41"/>
      <c r="J108" s="47">
        <f>19.82*$M$3</f>
        <v>826.25616</v>
      </c>
      <c r="K108" s="7" t="s">
        <v>72</v>
      </c>
      <c r="L108" s="65"/>
      <c r="M108" s="14"/>
      <c r="N108" s="15"/>
      <c r="O108" s="16"/>
      <c r="P108" s="70"/>
      <c r="Q108" s="15"/>
    </row>
    <row r="109" spans="1:17" ht="17.25" customHeight="1">
      <c r="A109" s="27"/>
      <c r="B109" s="6" t="s">
        <v>78</v>
      </c>
      <c r="C109" s="2"/>
      <c r="D109" s="47">
        <f>17.53*$M$3</f>
        <v>730.79064</v>
      </c>
      <c r="E109" s="7" t="s">
        <v>72</v>
      </c>
      <c r="F109" s="41"/>
      <c r="G109" s="47">
        <f>19.03*$M$3</f>
        <v>793.3226400000001</v>
      </c>
      <c r="H109" s="7" t="s">
        <v>72</v>
      </c>
      <c r="I109" s="41"/>
      <c r="J109" s="47">
        <f>20.48*$M$3</f>
        <v>853.7702400000001</v>
      </c>
      <c r="K109" s="7" t="s">
        <v>72</v>
      </c>
      <c r="L109" s="65"/>
      <c r="M109" s="14"/>
      <c r="N109" s="15"/>
      <c r="O109" s="16"/>
      <c r="P109" s="70"/>
      <c r="Q109" s="15"/>
    </row>
    <row r="110" spans="1:17" ht="15">
      <c r="A110" s="27"/>
      <c r="B110" s="6" t="s">
        <v>81</v>
      </c>
      <c r="C110" s="2"/>
      <c r="D110" s="47">
        <f>21.93*$M$3</f>
        <v>914.21784</v>
      </c>
      <c r="E110" s="7" t="s">
        <v>72</v>
      </c>
      <c r="F110" s="41"/>
      <c r="G110" s="47">
        <f>23.8*$M$3</f>
        <v>992.1744000000001</v>
      </c>
      <c r="H110" s="7" t="s">
        <v>72</v>
      </c>
      <c r="I110" s="41"/>
      <c r="J110" s="47">
        <f>25.62*$M$3</f>
        <v>1068.04656</v>
      </c>
      <c r="K110" s="7" t="s">
        <v>72</v>
      </c>
      <c r="L110" s="65"/>
      <c r="M110" s="14"/>
      <c r="N110" s="15"/>
      <c r="O110" s="16"/>
      <c r="P110" s="70"/>
      <c r="Q110" s="15"/>
    </row>
    <row r="111" spans="1:17" ht="15">
      <c r="A111" s="27"/>
      <c r="B111" s="6" t="s">
        <v>80</v>
      </c>
      <c r="C111" s="2"/>
      <c r="D111" s="47">
        <f>22.85*$M$3</f>
        <v>952.5708000000001</v>
      </c>
      <c r="E111" s="7" t="s">
        <v>72</v>
      </c>
      <c r="F111" s="41"/>
      <c r="G111" s="47">
        <f>24.8*$M$3</f>
        <v>1033.8624</v>
      </c>
      <c r="H111" s="7" t="s">
        <v>72</v>
      </c>
      <c r="I111" s="41"/>
      <c r="J111" s="47">
        <f>26.7*$M$3</f>
        <v>1113.0696</v>
      </c>
      <c r="K111" s="7" t="s">
        <v>72</v>
      </c>
      <c r="L111" s="65"/>
      <c r="M111" s="14"/>
      <c r="N111" s="15"/>
      <c r="O111" s="16"/>
      <c r="P111" s="70"/>
      <c r="Q111" s="15"/>
    </row>
    <row r="112" spans="1:17" ht="15">
      <c r="A112" s="27"/>
      <c r="B112" s="6" t="s">
        <v>83</v>
      </c>
      <c r="C112" s="2"/>
      <c r="D112" s="47">
        <f>22.39*$M$3</f>
        <v>933.3943200000001</v>
      </c>
      <c r="E112" s="7" t="s">
        <v>72</v>
      </c>
      <c r="F112" s="41"/>
      <c r="G112" s="47">
        <f>24.31*$M$3</f>
        <v>1013.43528</v>
      </c>
      <c r="H112" s="7" t="s">
        <v>72</v>
      </c>
      <c r="I112" s="41"/>
      <c r="J112" s="47">
        <f>26.16*$M$3</f>
        <v>1090.55808</v>
      </c>
      <c r="K112" s="7" t="s">
        <v>72</v>
      </c>
      <c r="L112" s="65"/>
      <c r="M112" s="14"/>
      <c r="N112" s="15"/>
      <c r="O112" s="16"/>
      <c r="P112" s="70"/>
      <c r="Q112" s="15"/>
    </row>
    <row r="113" spans="1:17" ht="15">
      <c r="A113" s="27"/>
      <c r="B113" s="6" t="s">
        <v>82</v>
      </c>
      <c r="C113" s="2"/>
      <c r="D113" s="47">
        <f>23.3*$M$3</f>
        <v>971.3304</v>
      </c>
      <c r="E113" s="7" t="s">
        <v>72</v>
      </c>
      <c r="F113" s="41"/>
      <c r="G113" s="47">
        <f>25.29*$M$3</f>
        <v>1054.28952</v>
      </c>
      <c r="H113" s="7" t="s">
        <v>72</v>
      </c>
      <c r="I113" s="41"/>
      <c r="J113" s="47">
        <f>27.22*$M$3</f>
        <v>1134.74736</v>
      </c>
      <c r="K113" s="7" t="s">
        <v>72</v>
      </c>
      <c r="L113" s="65"/>
      <c r="M113" s="14"/>
      <c r="N113" s="15"/>
      <c r="O113" s="16"/>
      <c r="P113" s="70"/>
      <c r="Q113" s="15"/>
    </row>
    <row r="114" spans="1:17" ht="15">
      <c r="A114" s="27"/>
      <c r="B114" s="6" t="s">
        <v>85</v>
      </c>
      <c r="C114" s="2"/>
      <c r="D114" s="47">
        <f>29.17*$M$3</f>
        <v>1216.03896</v>
      </c>
      <c r="E114" s="7" t="s">
        <v>72</v>
      </c>
      <c r="F114" s="41"/>
      <c r="G114" s="47">
        <f>31.66*$M$3</f>
        <v>1319.8420800000001</v>
      </c>
      <c r="H114" s="7" t="s">
        <v>72</v>
      </c>
      <c r="I114" s="41"/>
      <c r="J114" s="47">
        <f>34.08*$M$3</f>
        <v>1420.72704</v>
      </c>
      <c r="K114" s="7" t="s">
        <v>72</v>
      </c>
      <c r="L114" s="65"/>
      <c r="M114" s="14"/>
      <c r="N114" s="15"/>
      <c r="O114" s="16"/>
      <c r="P114" s="70"/>
      <c r="Q114" s="15"/>
    </row>
    <row r="115" spans="1:17" ht="15">
      <c r="A115" s="27"/>
      <c r="B115" s="6" t="s">
        <v>84</v>
      </c>
      <c r="C115" s="2"/>
      <c r="D115" s="47">
        <f>30.29*$M$3</f>
        <v>1262.72952</v>
      </c>
      <c r="E115" s="7" t="s">
        <v>72</v>
      </c>
      <c r="F115" s="41"/>
      <c r="G115" s="47">
        <f>32.88*$M$3</f>
        <v>1370.7014400000003</v>
      </c>
      <c r="H115" s="7" t="s">
        <v>72</v>
      </c>
      <c r="I115" s="41"/>
      <c r="J115" s="47">
        <f>35.39*$M$3</f>
        <v>1475.33832</v>
      </c>
      <c r="K115" s="7" t="s">
        <v>72</v>
      </c>
      <c r="L115" s="65"/>
      <c r="M115" s="14"/>
      <c r="N115" s="15"/>
      <c r="O115" s="16"/>
      <c r="P115" s="70"/>
      <c r="Q115" s="15"/>
    </row>
    <row r="116" spans="1:17" ht="15">
      <c r="A116" s="27"/>
      <c r="B116" s="6" t="s">
        <v>87</v>
      </c>
      <c r="C116" s="2"/>
      <c r="D116" s="47">
        <f>28.95*$M$3</f>
        <v>1206.8676</v>
      </c>
      <c r="E116" s="7" t="s">
        <v>72</v>
      </c>
      <c r="F116" s="41"/>
      <c r="G116" s="47">
        <f>31.42*$M$3</f>
        <v>1309.83696</v>
      </c>
      <c r="H116" s="7" t="s">
        <v>72</v>
      </c>
      <c r="I116" s="41"/>
      <c r="J116" s="47">
        <f>33.83*$M$3</f>
        <v>1410.30504</v>
      </c>
      <c r="K116" s="7" t="s">
        <v>72</v>
      </c>
      <c r="L116" s="65"/>
      <c r="M116" s="14"/>
      <c r="N116" s="15"/>
      <c r="O116" s="16"/>
      <c r="P116" s="70"/>
      <c r="Q116" s="15"/>
    </row>
    <row r="117" spans="1:17" ht="15">
      <c r="A117" s="27"/>
      <c r="B117" s="6" t="s">
        <v>86</v>
      </c>
      <c r="C117" s="2"/>
      <c r="D117" s="47">
        <f>29.97*$M$3</f>
        <v>1249.3893600000001</v>
      </c>
      <c r="E117" s="7" t="s">
        <v>72</v>
      </c>
      <c r="F117" s="41"/>
      <c r="G117" s="47">
        <f>32.53*$M$3</f>
        <v>1356.11064</v>
      </c>
      <c r="H117" s="7" t="s">
        <v>72</v>
      </c>
      <c r="I117" s="41"/>
      <c r="J117" s="47">
        <f>35.02*$M$3</f>
        <v>1459.9137600000001</v>
      </c>
      <c r="K117" s="7" t="s">
        <v>72</v>
      </c>
      <c r="L117" s="65"/>
      <c r="M117" s="14"/>
      <c r="N117" s="15"/>
      <c r="O117" s="16"/>
      <c r="P117" s="70"/>
      <c r="Q117" s="15"/>
    </row>
    <row r="118" spans="1:17" ht="15">
      <c r="A118" s="27"/>
      <c r="B118" s="6" t="s">
        <v>89</v>
      </c>
      <c r="C118" s="2"/>
      <c r="D118" s="47">
        <f>37.41*$M$3</f>
        <v>1559.54808</v>
      </c>
      <c r="E118" s="7" t="s">
        <v>72</v>
      </c>
      <c r="F118" s="41"/>
      <c r="G118" s="47">
        <f>40.61*$M$3</f>
        <v>1692.9496800000002</v>
      </c>
      <c r="H118" s="7" t="s">
        <v>72</v>
      </c>
      <c r="I118" s="41"/>
      <c r="J118" s="47">
        <f>43.72*$M$3</f>
        <v>1822.5993600000002</v>
      </c>
      <c r="K118" s="7" t="s">
        <v>72</v>
      </c>
      <c r="L118" s="65"/>
      <c r="M118" s="14"/>
      <c r="N118" s="15"/>
      <c r="O118" s="16"/>
      <c r="P118" s="70"/>
      <c r="Q118" s="15"/>
    </row>
    <row r="119" spans="1:17" ht="15">
      <c r="A119" s="27"/>
      <c r="B119" s="6" t="s">
        <v>88</v>
      </c>
      <c r="C119" s="2"/>
      <c r="D119" s="47">
        <f>39.01*$M$3</f>
        <v>1626.24888</v>
      </c>
      <c r="E119" s="7" t="s">
        <v>72</v>
      </c>
      <c r="F119" s="41"/>
      <c r="G119" s="47">
        <f>42.34*$M$3</f>
        <v>1765.0699200000001</v>
      </c>
      <c r="H119" s="7" t="s">
        <v>72</v>
      </c>
      <c r="I119" s="41"/>
      <c r="J119" s="47">
        <f>45.58*$M$3</f>
        <v>1900.13904</v>
      </c>
      <c r="K119" s="7" t="s">
        <v>72</v>
      </c>
      <c r="L119" s="65"/>
      <c r="M119" s="14"/>
      <c r="N119" s="15"/>
      <c r="O119" s="16"/>
      <c r="P119" s="70"/>
      <c r="Q119" s="15"/>
    </row>
    <row r="120" spans="1:17" ht="15">
      <c r="A120" s="27"/>
      <c r="B120" s="6" t="s">
        <v>91</v>
      </c>
      <c r="C120" s="2"/>
      <c r="D120" s="47">
        <f>34.27*$M$3</f>
        <v>1428.6477600000003</v>
      </c>
      <c r="E120" s="7" t="s">
        <v>72</v>
      </c>
      <c r="F120" s="41"/>
      <c r="G120" s="47">
        <f>37.2*$M$3</f>
        <v>1550.7936000000002</v>
      </c>
      <c r="H120" s="7" t="s">
        <v>72</v>
      </c>
      <c r="I120" s="41"/>
      <c r="J120" s="47">
        <f>40.04*$M$3</f>
        <v>1669.18752</v>
      </c>
      <c r="K120" s="7" t="s">
        <v>72</v>
      </c>
      <c r="L120" s="65"/>
      <c r="M120" s="14"/>
      <c r="N120" s="15"/>
      <c r="O120" s="16"/>
      <c r="P120" s="70"/>
      <c r="Q120" s="15"/>
    </row>
    <row r="121" spans="1:17" ht="15">
      <c r="A121" s="27"/>
      <c r="B121" s="6" t="s">
        <v>90</v>
      </c>
      <c r="C121" s="2"/>
      <c r="D121" s="47">
        <f>35.63*$M$3</f>
        <v>1485.34344</v>
      </c>
      <c r="E121" s="7" t="s">
        <v>72</v>
      </c>
      <c r="F121" s="41"/>
      <c r="G121" s="47">
        <f>38.67*$M$3</f>
        <v>1612.0749600000001</v>
      </c>
      <c r="H121" s="7" t="s">
        <v>72</v>
      </c>
      <c r="I121" s="41"/>
      <c r="J121" s="47">
        <f>41.63*$M$3</f>
        <v>1735.4714400000003</v>
      </c>
      <c r="K121" s="7" t="s">
        <v>72</v>
      </c>
      <c r="L121" s="65"/>
      <c r="M121" s="14"/>
      <c r="N121" s="15"/>
      <c r="O121" s="16"/>
      <c r="P121" s="70"/>
      <c r="Q121" s="15"/>
    </row>
    <row r="122" spans="1:17" ht="15">
      <c r="A122" s="27"/>
      <c r="B122" s="6" t="s">
        <v>93</v>
      </c>
      <c r="C122" s="2"/>
      <c r="D122" s="47">
        <f>44.55*$M$3</f>
        <v>1857.2004</v>
      </c>
      <c r="E122" s="7" t="s">
        <v>72</v>
      </c>
      <c r="F122" s="41"/>
      <c r="G122" s="47">
        <f>48.35*$M$3</f>
        <v>2015.6148000000003</v>
      </c>
      <c r="H122" s="7" t="s">
        <v>72</v>
      </c>
      <c r="I122" s="41"/>
      <c r="J122" s="47">
        <f>52.05*$M$3</f>
        <v>2169.8604</v>
      </c>
      <c r="K122" s="7" t="s">
        <v>72</v>
      </c>
      <c r="L122" s="65"/>
      <c r="M122" s="14"/>
      <c r="N122" s="15"/>
      <c r="O122" s="16"/>
      <c r="P122" s="70"/>
      <c r="Q122" s="15"/>
    </row>
    <row r="123" spans="1:17" ht="15">
      <c r="A123" s="27"/>
      <c r="B123" s="6" t="s">
        <v>92</v>
      </c>
      <c r="C123" s="2"/>
      <c r="D123" s="47">
        <f>46.36*$M$3</f>
        <v>1932.65568</v>
      </c>
      <c r="E123" s="7" t="s">
        <v>72</v>
      </c>
      <c r="F123" s="41"/>
      <c r="G123" s="47">
        <f>50.32*$M$3</f>
        <v>2097.7401600000003</v>
      </c>
      <c r="H123" s="7" t="s">
        <v>72</v>
      </c>
      <c r="I123" s="41"/>
      <c r="J123" s="47">
        <f>54.17*$M$3</f>
        <v>2258.23896</v>
      </c>
      <c r="K123" s="7" t="s">
        <v>72</v>
      </c>
      <c r="L123" s="65"/>
      <c r="M123" s="14"/>
      <c r="N123" s="15"/>
      <c r="O123" s="16"/>
      <c r="P123" s="70"/>
      <c r="Q123" s="15"/>
    </row>
    <row r="124" spans="1:17" ht="15">
      <c r="A124" s="27"/>
      <c r="B124" s="6" t="s">
        <v>95</v>
      </c>
      <c r="C124" s="2"/>
      <c r="D124" s="47">
        <f>41.95*$M$3</f>
        <v>1748.8116000000002</v>
      </c>
      <c r="E124" s="7" t="s">
        <v>72</v>
      </c>
      <c r="F124" s="41"/>
      <c r="G124" s="47">
        <f>45.54*$M$3</f>
        <v>1898.47152</v>
      </c>
      <c r="H124" s="7" t="s">
        <v>72</v>
      </c>
      <c r="I124" s="41"/>
      <c r="J124" s="47">
        <f>49.02*$M$3</f>
        <v>2043.5457600000002</v>
      </c>
      <c r="K124" s="7" t="s">
        <v>72</v>
      </c>
      <c r="L124" s="65"/>
      <c r="M124" s="14"/>
      <c r="N124" s="15"/>
      <c r="O124" s="16"/>
      <c r="P124" s="70"/>
      <c r="Q124" s="15"/>
    </row>
    <row r="125" spans="1:17" ht="15">
      <c r="A125" s="27"/>
      <c r="B125" s="6" t="s">
        <v>94</v>
      </c>
      <c r="C125" s="2"/>
      <c r="D125" s="47">
        <f>43.63*$M$3</f>
        <v>1818.8474400000002</v>
      </c>
      <c r="E125" s="7" t="s">
        <v>72</v>
      </c>
      <c r="F125" s="41"/>
      <c r="G125" s="47">
        <f>47.37*$M$3</f>
        <v>1974.76056</v>
      </c>
      <c r="H125" s="7" t="s">
        <v>72</v>
      </c>
      <c r="I125" s="41"/>
      <c r="J125" s="47">
        <f>50.99*$M$3</f>
        <v>2125.6711200000004</v>
      </c>
      <c r="K125" s="7" t="s">
        <v>72</v>
      </c>
      <c r="L125" s="65"/>
      <c r="M125" s="14"/>
      <c r="N125" s="15"/>
      <c r="O125" s="16"/>
      <c r="P125" s="70"/>
      <c r="Q125" s="15"/>
    </row>
    <row r="126" spans="1:17" ht="15">
      <c r="A126" s="27"/>
      <c r="B126" s="6" t="s">
        <v>97</v>
      </c>
      <c r="C126" s="2"/>
      <c r="D126" s="47">
        <f>54.49*$M$3</f>
        <v>2271.5791200000003</v>
      </c>
      <c r="E126" s="7" t="s">
        <v>72</v>
      </c>
      <c r="F126" s="41"/>
      <c r="G126" s="47">
        <f>59.16*$M$3</f>
        <v>2466.26208</v>
      </c>
      <c r="H126" s="7" t="s">
        <v>72</v>
      </c>
      <c r="I126" s="41"/>
      <c r="J126" s="47">
        <f>63.68*$M$3</f>
        <v>2654.69184</v>
      </c>
      <c r="K126" s="7" t="s">
        <v>72</v>
      </c>
      <c r="L126" s="65"/>
      <c r="M126" s="14"/>
      <c r="N126" s="15"/>
      <c r="O126" s="16"/>
      <c r="P126" s="70"/>
      <c r="Q126" s="15"/>
    </row>
    <row r="127" spans="1:17" ht="15">
      <c r="A127" s="27"/>
      <c r="B127" s="6" t="s">
        <v>96</v>
      </c>
      <c r="C127" s="2"/>
      <c r="D127" s="47">
        <f>56.76*$M$3</f>
        <v>2366.21088</v>
      </c>
      <c r="E127" s="7" t="s">
        <v>72</v>
      </c>
      <c r="F127" s="41"/>
      <c r="G127" s="47">
        <f>61.61*$M$3</f>
        <v>2568.39768</v>
      </c>
      <c r="H127" s="7" t="s">
        <v>72</v>
      </c>
      <c r="I127" s="41"/>
      <c r="J127" s="47">
        <f>66.32*$M$3</f>
        <v>2764.74816</v>
      </c>
      <c r="K127" s="7" t="s">
        <v>72</v>
      </c>
      <c r="L127" s="65"/>
      <c r="M127" s="14"/>
      <c r="N127" s="15"/>
      <c r="O127" s="16"/>
      <c r="P127" s="70"/>
      <c r="Q127" s="15"/>
    </row>
    <row r="128" spans="1:17" ht="15">
      <c r="A128" s="27"/>
      <c r="B128" s="6" t="s">
        <v>99</v>
      </c>
      <c r="C128" s="2"/>
      <c r="D128" s="47">
        <f>59.8*$M$3</f>
        <v>2492.9424</v>
      </c>
      <c r="E128" s="7" t="s">
        <v>72</v>
      </c>
      <c r="F128" s="41"/>
      <c r="G128" s="47">
        <f>64.91*$M$3</f>
        <v>2705.96808</v>
      </c>
      <c r="H128" s="7" t="s">
        <v>72</v>
      </c>
      <c r="I128" s="41"/>
      <c r="J128" s="47">
        <f>69.88*$M$3</f>
        <v>2913.15744</v>
      </c>
      <c r="K128" s="7" t="s">
        <v>72</v>
      </c>
      <c r="L128" s="65"/>
      <c r="M128" s="14"/>
      <c r="N128" s="15"/>
      <c r="O128" s="16"/>
      <c r="P128" s="70"/>
      <c r="Q128" s="15"/>
    </row>
    <row r="129" spans="1:17" ht="15">
      <c r="A129" s="27"/>
      <c r="B129" s="6" t="s">
        <v>98</v>
      </c>
      <c r="C129" s="2"/>
      <c r="D129" s="47">
        <f>60.01*$M$3</f>
        <v>2501.69688</v>
      </c>
      <c r="E129" s="7" t="s">
        <v>72</v>
      </c>
      <c r="F129" s="41"/>
      <c r="G129" s="47">
        <f>65.14*$M$3</f>
        <v>2715.55632</v>
      </c>
      <c r="H129" s="7" t="s">
        <v>72</v>
      </c>
      <c r="I129" s="41"/>
      <c r="J129" s="47">
        <f>70.13*$M$3</f>
        <v>2923.57944</v>
      </c>
      <c r="K129" s="7" t="s">
        <v>72</v>
      </c>
      <c r="L129" s="65"/>
      <c r="M129" s="14"/>
      <c r="N129" s="15"/>
      <c r="O129" s="16"/>
      <c r="P129" s="70"/>
      <c r="Q129" s="15"/>
    </row>
    <row r="130" spans="1:17" ht="15">
      <c r="A130" s="27"/>
      <c r="B130" s="6" t="s">
        <v>100</v>
      </c>
      <c r="C130" s="2"/>
      <c r="D130" s="47">
        <f>77.7*$M$3</f>
        <v>3239.1576000000005</v>
      </c>
      <c r="E130" s="7" t="s">
        <v>72</v>
      </c>
      <c r="F130" s="41"/>
      <c r="G130" s="47">
        <f>84.42*$M$3</f>
        <v>3519.3009600000005</v>
      </c>
      <c r="H130" s="7" t="s">
        <v>72</v>
      </c>
      <c r="I130" s="41"/>
      <c r="J130" s="47">
        <f>90.88*$M$3</f>
        <v>3788.60544</v>
      </c>
      <c r="K130" s="7" t="s">
        <v>72</v>
      </c>
      <c r="L130" s="65"/>
      <c r="M130" s="14"/>
      <c r="N130" s="15"/>
      <c r="O130" s="16"/>
      <c r="P130" s="70"/>
      <c r="Q130" s="15"/>
    </row>
    <row r="131" spans="1:17" ht="15">
      <c r="A131" s="27"/>
      <c r="B131" s="6" t="s">
        <v>101</v>
      </c>
      <c r="C131" s="2"/>
      <c r="D131" s="47">
        <f>68.85*$M$3</f>
        <v>2870.2188</v>
      </c>
      <c r="E131" s="7" t="s">
        <v>72</v>
      </c>
      <c r="F131" s="41"/>
      <c r="G131" s="47">
        <f>74.74*$M$3</f>
        <v>3115.76112</v>
      </c>
      <c r="H131" s="7" t="s">
        <v>72</v>
      </c>
      <c r="I131" s="41"/>
      <c r="J131" s="47">
        <f>80.46*$M$3</f>
        <v>3354.21648</v>
      </c>
      <c r="K131" s="7" t="s">
        <v>72</v>
      </c>
      <c r="L131" s="65"/>
      <c r="M131" s="14"/>
      <c r="N131" s="15"/>
      <c r="O131" s="16"/>
      <c r="P131" s="70"/>
      <c r="Q131" s="15"/>
    </row>
    <row r="132" spans="1:17" ht="15">
      <c r="A132" s="27"/>
      <c r="B132" s="6" t="s">
        <v>102</v>
      </c>
      <c r="C132" s="2"/>
      <c r="D132" s="47">
        <f>92.02*$M$3</f>
        <v>3836.1297600000003</v>
      </c>
      <c r="E132" s="7" t="s">
        <v>72</v>
      </c>
      <c r="F132" s="41"/>
      <c r="G132" s="47">
        <f>99.88*$M$3</f>
        <v>4163.79744</v>
      </c>
      <c r="H132" s="7" t="s">
        <v>72</v>
      </c>
      <c r="I132" s="41"/>
      <c r="J132" s="47">
        <f>107.53*$M$3</f>
        <v>4482.71064</v>
      </c>
      <c r="K132" s="7" t="s">
        <v>72</v>
      </c>
      <c r="L132" s="65"/>
      <c r="M132" s="14"/>
      <c r="N132" s="15"/>
      <c r="O132" s="16"/>
      <c r="P132" s="70"/>
      <c r="Q132" s="15"/>
    </row>
    <row r="133" spans="1:17" ht="15">
      <c r="A133" s="27"/>
      <c r="B133" s="5" t="s">
        <v>104</v>
      </c>
      <c r="C133" s="2"/>
      <c r="D133" s="90"/>
      <c r="E133" s="90"/>
      <c r="F133" s="33"/>
      <c r="G133" s="90"/>
      <c r="H133" s="90"/>
      <c r="I133" s="34"/>
      <c r="J133" s="90"/>
      <c r="K133" s="90"/>
      <c r="L133" s="62"/>
      <c r="P133" s="86"/>
      <c r="Q133" s="86"/>
    </row>
    <row r="134" spans="1:17" ht="15">
      <c r="A134" s="27"/>
      <c r="B134" s="6" t="s">
        <v>105</v>
      </c>
      <c r="C134" s="2"/>
      <c r="D134" s="49">
        <v>3589.62</v>
      </c>
      <c r="E134" s="7" t="s">
        <v>72</v>
      </c>
      <c r="F134" s="41"/>
      <c r="G134" s="49">
        <v>3602.7</v>
      </c>
      <c r="H134" s="7" t="s">
        <v>72</v>
      </c>
      <c r="I134" s="41"/>
      <c r="J134" s="49">
        <v>3825.68</v>
      </c>
      <c r="K134" s="7" t="s">
        <v>72</v>
      </c>
      <c r="L134" s="65"/>
      <c r="P134" s="70"/>
      <c r="Q134" s="15"/>
    </row>
    <row r="135" spans="1:17" ht="15">
      <c r="A135" s="27"/>
      <c r="B135" s="6" t="s">
        <v>106</v>
      </c>
      <c r="C135" s="2"/>
      <c r="D135" s="49">
        <v>2730.5</v>
      </c>
      <c r="E135" s="7" t="s">
        <v>72</v>
      </c>
      <c r="F135" s="41"/>
      <c r="G135" s="49">
        <v>2993.48</v>
      </c>
      <c r="H135" s="7" t="s">
        <v>72</v>
      </c>
      <c r="I135" s="41"/>
      <c r="J135" s="49">
        <v>3090.83</v>
      </c>
      <c r="K135" s="7" t="s">
        <v>72</v>
      </c>
      <c r="L135" s="65"/>
      <c r="P135" s="70"/>
      <c r="Q135" s="15"/>
    </row>
    <row r="136" spans="1:17" ht="15">
      <c r="A136" s="27"/>
      <c r="B136" s="6" t="s">
        <v>107</v>
      </c>
      <c r="C136" s="2"/>
      <c r="D136" s="47">
        <f>70.11*$M$3</f>
        <v>2922.74568</v>
      </c>
      <c r="E136" s="7" t="s">
        <v>72</v>
      </c>
      <c r="F136" s="41"/>
      <c r="G136" s="47">
        <f>76.31*$M$3</f>
        <v>3181.2112800000004</v>
      </c>
      <c r="H136" s="7" t="s">
        <v>72</v>
      </c>
      <c r="I136" s="41"/>
      <c r="J136" s="47">
        <f>78.8*$M$3</f>
        <v>3285.0144</v>
      </c>
      <c r="K136" s="7" t="s">
        <v>72</v>
      </c>
      <c r="L136" s="65"/>
      <c r="P136" s="70"/>
      <c r="Q136" s="15"/>
    </row>
    <row r="137" spans="1:17" ht="15">
      <c r="A137" s="27"/>
      <c r="B137" s="6" t="s">
        <v>108</v>
      </c>
      <c r="C137" s="2"/>
      <c r="D137" s="49">
        <v>3971.1</v>
      </c>
      <c r="E137" s="7" t="s">
        <v>72</v>
      </c>
      <c r="F137" s="41"/>
      <c r="G137" s="49">
        <v>4347.72</v>
      </c>
      <c r="H137" s="7" t="s">
        <v>72</v>
      </c>
      <c r="I137" s="41"/>
      <c r="J137" s="49">
        <v>4489.11</v>
      </c>
      <c r="K137" s="7" t="s">
        <v>72</v>
      </c>
      <c r="L137" s="65"/>
      <c r="P137" s="70"/>
      <c r="Q137" s="15"/>
    </row>
    <row r="138" spans="1:17" ht="15">
      <c r="A138" s="27"/>
      <c r="B138" s="6" t="s">
        <v>109</v>
      </c>
      <c r="C138" s="2"/>
      <c r="D138" s="47">
        <f>99.3*$M$3</f>
        <v>4139.6184</v>
      </c>
      <c r="E138" s="7" t="s">
        <v>72</v>
      </c>
      <c r="F138" s="41"/>
      <c r="G138" s="47">
        <f>108.09*$M$3</f>
        <v>4506.055920000001</v>
      </c>
      <c r="H138" s="7" t="s">
        <v>72</v>
      </c>
      <c r="I138" s="41"/>
      <c r="J138" s="47">
        <f>111.6*$M$3</f>
        <v>4652.3808</v>
      </c>
      <c r="K138" s="7" t="s">
        <v>72</v>
      </c>
      <c r="L138" s="65"/>
      <c r="P138" s="70"/>
      <c r="Q138" s="15"/>
    </row>
    <row r="139" spans="1:17" ht="15">
      <c r="A139" s="27"/>
      <c r="B139" s="6" t="s">
        <v>110</v>
      </c>
      <c r="C139" s="2"/>
      <c r="D139" s="49">
        <v>5294</v>
      </c>
      <c r="E139" s="7" t="s">
        <v>72</v>
      </c>
      <c r="F139" s="41"/>
      <c r="G139" s="49">
        <v>5796.93</v>
      </c>
      <c r="H139" s="7" t="s">
        <v>72</v>
      </c>
      <c r="I139" s="41"/>
      <c r="J139" s="49">
        <v>5985.45</v>
      </c>
      <c r="K139" s="7" t="s">
        <v>72</v>
      </c>
      <c r="L139" s="65"/>
      <c r="P139" s="70"/>
      <c r="Q139" s="15"/>
    </row>
    <row r="140" spans="1:17" ht="15">
      <c r="A140" s="27"/>
      <c r="B140" s="6" t="s">
        <v>111</v>
      </c>
      <c r="C140" s="2"/>
      <c r="D140" s="47">
        <f>135.64*$M$3</f>
        <v>5654.56032</v>
      </c>
      <c r="E140" s="7" t="s">
        <v>72</v>
      </c>
      <c r="F140" s="41"/>
      <c r="G140" s="47">
        <f>147.64*$M$3</f>
        <v>6154.81632</v>
      </c>
      <c r="H140" s="7" t="s">
        <v>72</v>
      </c>
      <c r="I140" s="41"/>
      <c r="J140" s="47">
        <f>152.44*$M$3</f>
        <v>6354.918720000001</v>
      </c>
      <c r="K140" s="7" t="s">
        <v>72</v>
      </c>
      <c r="L140" s="65"/>
      <c r="P140" s="70"/>
      <c r="Q140" s="15"/>
    </row>
    <row r="141" spans="1:17" ht="15">
      <c r="A141" s="27"/>
      <c r="B141" s="6" t="s">
        <v>112</v>
      </c>
      <c r="C141" s="2"/>
      <c r="D141" s="49">
        <v>6618.15</v>
      </c>
      <c r="E141" s="7" t="s">
        <v>72</v>
      </c>
      <c r="F141" s="41"/>
      <c r="G141" s="49">
        <v>7246.22</v>
      </c>
      <c r="H141" s="7" t="s">
        <v>72</v>
      </c>
      <c r="I141" s="41"/>
      <c r="J141" s="49">
        <v>7481.87</v>
      </c>
      <c r="K141" s="7" t="s">
        <v>72</v>
      </c>
      <c r="L141" s="65"/>
      <c r="P141" s="70"/>
      <c r="Q141" s="15"/>
    </row>
    <row r="142" spans="1:17" ht="15">
      <c r="A142" s="27"/>
      <c r="B142" s="6" t="s">
        <v>113</v>
      </c>
      <c r="C142" s="2"/>
      <c r="D142" s="47">
        <f>167.39*$M$3</f>
        <v>6978.15432</v>
      </c>
      <c r="E142" s="7" t="s">
        <v>72</v>
      </c>
      <c r="F142" s="41"/>
      <c r="G142" s="47">
        <f>182.2*$M$3</f>
        <v>7595.5536</v>
      </c>
      <c r="H142" s="7" t="s">
        <v>72</v>
      </c>
      <c r="I142" s="41"/>
      <c r="J142" s="47">
        <f>188.13*$M$3</f>
        <v>7842.763440000001</v>
      </c>
      <c r="K142" s="7" t="s">
        <v>72</v>
      </c>
      <c r="L142" s="65"/>
      <c r="P142" s="70"/>
      <c r="Q142" s="15"/>
    </row>
    <row r="143" spans="1:17" ht="15">
      <c r="A143" s="27"/>
      <c r="B143" s="6" t="s">
        <v>114</v>
      </c>
      <c r="C143" s="2"/>
      <c r="D143" s="49">
        <v>7942.2</v>
      </c>
      <c r="E143" s="7" t="s">
        <v>72</v>
      </c>
      <c r="F143" s="41"/>
      <c r="G143" s="49">
        <v>8695.43</v>
      </c>
      <c r="H143" s="7" t="s">
        <v>72</v>
      </c>
      <c r="I143" s="41"/>
      <c r="J143" s="49">
        <v>8978.21</v>
      </c>
      <c r="K143" s="7" t="s">
        <v>72</v>
      </c>
      <c r="L143" s="65"/>
      <c r="P143" s="70"/>
      <c r="Q143" s="15"/>
    </row>
    <row r="144" spans="1:17" ht="15">
      <c r="A144" s="27"/>
      <c r="B144" s="6" t="s">
        <v>115</v>
      </c>
      <c r="C144" s="2"/>
      <c r="D144" s="47">
        <f>200.89*$M$3</f>
        <v>8374.70232</v>
      </c>
      <c r="E144" s="7" t="s">
        <v>72</v>
      </c>
      <c r="F144" s="41"/>
      <c r="G144" s="47">
        <f>218.66*$M$3</f>
        <v>9115.498080000001</v>
      </c>
      <c r="H144" s="7" t="s">
        <v>72</v>
      </c>
      <c r="I144" s="41"/>
      <c r="J144" s="47">
        <f>225.77*$M$3</f>
        <v>9411.89976</v>
      </c>
      <c r="K144" s="7" t="s">
        <v>72</v>
      </c>
      <c r="L144" s="65"/>
      <c r="P144" s="70"/>
      <c r="Q144" s="15"/>
    </row>
    <row r="145" spans="1:17" ht="15">
      <c r="A145" s="27"/>
      <c r="B145" s="6" t="s">
        <v>116</v>
      </c>
      <c r="C145" s="2"/>
      <c r="D145" s="49">
        <v>10589.25</v>
      </c>
      <c r="E145" s="7" t="s">
        <v>72</v>
      </c>
      <c r="F145" s="41"/>
      <c r="G145" s="49">
        <v>11593.94</v>
      </c>
      <c r="H145" s="7" t="s">
        <v>72</v>
      </c>
      <c r="I145" s="41"/>
      <c r="J145" s="49">
        <v>11970.97</v>
      </c>
      <c r="K145" s="7" t="s">
        <v>72</v>
      </c>
      <c r="L145" s="65"/>
      <c r="P145" s="70"/>
      <c r="Q145" s="15"/>
    </row>
    <row r="146" spans="1:17" ht="15">
      <c r="A146" s="27"/>
      <c r="B146" s="6" t="s">
        <v>117</v>
      </c>
      <c r="C146" s="2"/>
      <c r="D146" s="49">
        <v>13273.35</v>
      </c>
      <c r="E146" s="7" t="s">
        <v>72</v>
      </c>
      <c r="F146" s="41"/>
      <c r="G146" s="49">
        <v>14492.43</v>
      </c>
      <c r="H146" s="7" t="s">
        <v>72</v>
      </c>
      <c r="I146" s="41"/>
      <c r="J146" s="49">
        <v>14963.73</v>
      </c>
      <c r="K146" s="7" t="s">
        <v>72</v>
      </c>
      <c r="L146" s="65"/>
      <c r="P146" s="70"/>
      <c r="Q146" s="15"/>
    </row>
    <row r="147" spans="1:17" ht="15">
      <c r="A147" s="27"/>
      <c r="B147" s="5" t="s">
        <v>118</v>
      </c>
      <c r="C147" s="2"/>
      <c r="D147" s="90"/>
      <c r="E147" s="90"/>
      <c r="F147" s="33"/>
      <c r="G147" s="90"/>
      <c r="H147" s="90"/>
      <c r="I147" s="34"/>
      <c r="J147" s="90"/>
      <c r="K147" s="90"/>
      <c r="L147" s="62"/>
      <c r="P147" s="86"/>
      <c r="Q147" s="86"/>
    </row>
    <row r="148" spans="1:17" ht="15">
      <c r="A148" s="27"/>
      <c r="B148" s="8" t="s">
        <v>119</v>
      </c>
      <c r="C148" s="2"/>
      <c r="D148" s="91"/>
      <c r="E148" s="91"/>
      <c r="F148" s="33"/>
      <c r="G148" s="91"/>
      <c r="H148" s="91"/>
      <c r="I148" s="34"/>
      <c r="J148" s="91"/>
      <c r="K148" s="91"/>
      <c r="L148" s="62"/>
      <c r="P148" s="86"/>
      <c r="Q148" s="86"/>
    </row>
    <row r="149" spans="1:17" ht="15">
      <c r="A149" s="27"/>
      <c r="B149" s="6" t="s">
        <v>126</v>
      </c>
      <c r="C149" s="2"/>
      <c r="D149" s="49">
        <v>2914.13</v>
      </c>
      <c r="E149" s="7" t="s">
        <v>72</v>
      </c>
      <c r="F149" s="41"/>
      <c r="G149" s="49">
        <v>323.59</v>
      </c>
      <c r="H149" s="7" t="s">
        <v>72</v>
      </c>
      <c r="I149" s="41"/>
      <c r="J149" s="49">
        <v>3390</v>
      </c>
      <c r="K149" s="7" t="s">
        <v>72</v>
      </c>
      <c r="L149" s="65"/>
      <c r="M149" s="18"/>
      <c r="N149" s="19"/>
      <c r="O149" s="16"/>
      <c r="P149" s="70"/>
      <c r="Q149" s="15"/>
    </row>
    <row r="150" spans="1:17" ht="15">
      <c r="A150" s="27"/>
      <c r="B150" s="6" t="s">
        <v>120</v>
      </c>
      <c r="C150" s="2"/>
      <c r="D150" s="49">
        <v>3465</v>
      </c>
      <c r="E150" s="7" t="s">
        <v>72</v>
      </c>
      <c r="F150" s="41"/>
      <c r="G150" s="49">
        <v>3772</v>
      </c>
      <c r="H150" s="7" t="s">
        <v>72</v>
      </c>
      <c r="I150" s="41"/>
      <c r="J150" s="49">
        <v>4100</v>
      </c>
      <c r="K150" s="7" t="s">
        <v>72</v>
      </c>
      <c r="L150" s="65"/>
      <c r="M150" s="18"/>
      <c r="N150" s="19"/>
      <c r="O150" s="16"/>
      <c r="P150" s="70"/>
      <c r="Q150" s="15"/>
    </row>
    <row r="151" spans="1:17" ht="15">
      <c r="A151" s="27"/>
      <c r="B151" s="6" t="s">
        <v>123</v>
      </c>
      <c r="C151" s="2"/>
      <c r="D151" s="49">
        <v>3400</v>
      </c>
      <c r="E151" s="7" t="s">
        <v>72</v>
      </c>
      <c r="F151" s="41"/>
      <c r="G151" s="49">
        <v>3480</v>
      </c>
      <c r="H151" s="7" t="s">
        <v>72</v>
      </c>
      <c r="I151" s="41"/>
      <c r="J151" s="49">
        <v>3800</v>
      </c>
      <c r="K151" s="7" t="s">
        <v>72</v>
      </c>
      <c r="L151" s="65"/>
      <c r="M151" s="18"/>
      <c r="N151" s="19"/>
      <c r="O151" s="16"/>
      <c r="P151" s="70"/>
      <c r="Q151" s="15"/>
    </row>
    <row r="152" spans="1:17" ht="15">
      <c r="A152" s="27"/>
      <c r="B152" s="6" t="s">
        <v>128</v>
      </c>
      <c r="C152" s="2"/>
      <c r="D152" s="49">
        <v>3568</v>
      </c>
      <c r="E152" s="7" t="s">
        <v>72</v>
      </c>
      <c r="F152" s="41"/>
      <c r="G152" s="49">
        <v>3828</v>
      </c>
      <c r="H152" s="7" t="s">
        <v>72</v>
      </c>
      <c r="I152" s="41"/>
      <c r="J152" s="49">
        <v>4036</v>
      </c>
      <c r="K152" s="7" t="s">
        <v>72</v>
      </c>
      <c r="L152" s="65"/>
      <c r="M152" s="18"/>
      <c r="N152" s="19"/>
      <c r="O152" s="16"/>
      <c r="P152" s="70"/>
      <c r="Q152" s="15"/>
    </row>
    <row r="153" spans="1:17" ht="15">
      <c r="A153" s="27"/>
      <c r="B153" s="6" t="s">
        <v>124</v>
      </c>
      <c r="C153" s="2"/>
      <c r="D153" s="49">
        <v>3299</v>
      </c>
      <c r="E153" s="7" t="s">
        <v>72</v>
      </c>
      <c r="F153" s="41"/>
      <c r="G153" s="49">
        <v>3599</v>
      </c>
      <c r="H153" s="7" t="s">
        <v>72</v>
      </c>
      <c r="I153" s="41"/>
      <c r="J153" s="49">
        <v>3899</v>
      </c>
      <c r="K153" s="7" t="s">
        <v>72</v>
      </c>
      <c r="L153" s="65"/>
      <c r="M153" s="14"/>
      <c r="N153" s="15"/>
      <c r="O153" s="16"/>
      <c r="P153" s="70"/>
      <c r="Q153" s="15"/>
    </row>
    <row r="154" spans="1:17" ht="15">
      <c r="A154" s="27"/>
      <c r="B154" s="6" t="s">
        <v>129</v>
      </c>
      <c r="C154" s="2"/>
      <c r="D154" s="49">
        <v>3363</v>
      </c>
      <c r="E154" s="7" t="s">
        <v>72</v>
      </c>
      <c r="F154" s="41"/>
      <c r="G154" s="49">
        <v>3669</v>
      </c>
      <c r="H154" s="7" t="s">
        <v>72</v>
      </c>
      <c r="I154" s="41"/>
      <c r="J154" s="49">
        <v>3975</v>
      </c>
      <c r="K154" s="7" t="s">
        <v>72</v>
      </c>
      <c r="L154" s="65"/>
      <c r="M154" s="14"/>
      <c r="N154" s="15"/>
      <c r="O154" s="16"/>
      <c r="P154" s="70"/>
      <c r="Q154" s="15"/>
    </row>
    <row r="155" spans="1:17" ht="15">
      <c r="A155" s="27"/>
      <c r="B155" s="6" t="s">
        <v>125</v>
      </c>
      <c r="C155" s="2"/>
      <c r="D155" s="49">
        <v>3771</v>
      </c>
      <c r="E155" s="7" t="s">
        <v>72</v>
      </c>
      <c r="F155" s="41"/>
      <c r="G155" s="49">
        <v>4114</v>
      </c>
      <c r="H155" s="7" t="s">
        <v>72</v>
      </c>
      <c r="I155" s="41"/>
      <c r="J155" s="49">
        <v>4457</v>
      </c>
      <c r="K155" s="7" t="s">
        <v>72</v>
      </c>
      <c r="L155" s="65"/>
      <c r="M155" s="14"/>
      <c r="N155" s="15"/>
      <c r="O155" s="16"/>
      <c r="P155" s="70"/>
      <c r="Q155" s="15"/>
    </row>
    <row r="156" spans="1:17" ht="15">
      <c r="A156" s="27"/>
      <c r="B156" s="6" t="s">
        <v>130</v>
      </c>
      <c r="C156" s="2"/>
      <c r="D156" s="49">
        <v>4157</v>
      </c>
      <c r="E156" s="7" t="s">
        <v>72</v>
      </c>
      <c r="F156" s="41"/>
      <c r="G156" s="49">
        <v>4535</v>
      </c>
      <c r="H156" s="7" t="s">
        <v>72</v>
      </c>
      <c r="I156" s="41"/>
      <c r="J156" s="49">
        <v>4913</v>
      </c>
      <c r="K156" s="7" t="s">
        <v>72</v>
      </c>
      <c r="L156" s="65"/>
      <c r="M156" s="14"/>
      <c r="N156" s="15"/>
      <c r="O156" s="16"/>
      <c r="P156" s="70"/>
      <c r="Q156" s="15"/>
    </row>
    <row r="157" spans="1:17" ht="15">
      <c r="A157" s="27"/>
      <c r="B157" s="6" t="s">
        <v>122</v>
      </c>
      <c r="C157" s="2"/>
      <c r="D157" s="49">
        <v>3610</v>
      </c>
      <c r="E157" s="7" t="s">
        <v>72</v>
      </c>
      <c r="F157" s="41"/>
      <c r="G157" s="49">
        <v>3929</v>
      </c>
      <c r="H157" s="7" t="s">
        <v>72</v>
      </c>
      <c r="I157" s="41"/>
      <c r="J157" s="49">
        <v>4250</v>
      </c>
      <c r="K157" s="7" t="s">
        <v>72</v>
      </c>
      <c r="L157" s="65"/>
      <c r="M157" s="18"/>
      <c r="N157" s="19"/>
      <c r="O157" s="16"/>
      <c r="P157" s="70"/>
      <c r="Q157" s="15"/>
    </row>
    <row r="158" spans="1:17" ht="15">
      <c r="A158" s="27"/>
      <c r="B158" s="6" t="s">
        <v>127</v>
      </c>
      <c r="C158" s="2"/>
      <c r="D158" s="49">
        <v>3790</v>
      </c>
      <c r="E158" s="7" t="s">
        <v>72</v>
      </c>
      <c r="F158" s="41"/>
      <c r="G158" s="49">
        <v>4126</v>
      </c>
      <c r="H158" s="7" t="s">
        <v>72</v>
      </c>
      <c r="I158" s="41"/>
      <c r="J158" s="49">
        <v>4461</v>
      </c>
      <c r="K158" s="7" t="s">
        <v>72</v>
      </c>
      <c r="L158" s="65"/>
      <c r="M158" s="18"/>
      <c r="N158" s="19"/>
      <c r="O158" s="16"/>
      <c r="P158" s="70"/>
      <c r="Q158" s="15"/>
    </row>
    <row r="159" spans="1:17" ht="15">
      <c r="A159" s="27"/>
      <c r="B159" s="6" t="s">
        <v>121</v>
      </c>
      <c r="C159" s="2"/>
      <c r="D159" s="49">
        <v>3780</v>
      </c>
      <c r="E159" s="7" t="s">
        <v>72</v>
      </c>
      <c r="F159" s="41"/>
      <c r="G159" s="49">
        <v>3780</v>
      </c>
      <c r="H159" s="7" t="s">
        <v>72</v>
      </c>
      <c r="I159" s="41"/>
      <c r="J159" s="49">
        <v>3780</v>
      </c>
      <c r="K159" s="7" t="s">
        <v>72</v>
      </c>
      <c r="L159" s="65"/>
      <c r="M159" s="18"/>
      <c r="N159" s="19"/>
      <c r="O159" s="16"/>
      <c r="P159" s="70"/>
      <c r="Q159" s="15"/>
    </row>
    <row r="160" spans="1:17" ht="15">
      <c r="A160" s="27"/>
      <c r="B160" s="8" t="s">
        <v>131</v>
      </c>
      <c r="C160" s="2"/>
      <c r="D160" s="91"/>
      <c r="E160" s="91"/>
      <c r="F160" s="33"/>
      <c r="G160" s="91"/>
      <c r="H160" s="91"/>
      <c r="I160" s="34"/>
      <c r="J160" s="91"/>
      <c r="K160" s="91"/>
      <c r="L160" s="62"/>
      <c r="P160" s="86"/>
      <c r="Q160" s="86"/>
    </row>
    <row r="161" spans="1:17" ht="15">
      <c r="A161" s="27"/>
      <c r="B161" s="6" t="s">
        <v>132</v>
      </c>
      <c r="C161" s="2"/>
      <c r="D161" s="49">
        <v>4735.83</v>
      </c>
      <c r="E161" s="7" t="s">
        <v>72</v>
      </c>
      <c r="F161" s="41"/>
      <c r="G161" s="49">
        <v>5238</v>
      </c>
      <c r="H161" s="7" t="s">
        <v>72</v>
      </c>
      <c r="I161" s="41"/>
      <c r="J161" s="49">
        <v>5750</v>
      </c>
      <c r="K161" s="7" t="s">
        <v>72</v>
      </c>
      <c r="L161" s="65"/>
      <c r="P161" s="70"/>
      <c r="Q161" s="15"/>
    </row>
    <row r="162" spans="1:17" ht="15">
      <c r="A162" s="27"/>
      <c r="B162" s="6" t="s">
        <v>133</v>
      </c>
      <c r="C162" s="2"/>
      <c r="D162" s="49">
        <v>5429</v>
      </c>
      <c r="E162" s="7" t="s">
        <v>72</v>
      </c>
      <c r="F162" s="41"/>
      <c r="G162" s="49">
        <v>5909</v>
      </c>
      <c r="H162" s="7" t="s">
        <v>72</v>
      </c>
      <c r="I162" s="41"/>
      <c r="J162" s="49">
        <v>6390</v>
      </c>
      <c r="K162" s="7" t="s">
        <v>72</v>
      </c>
      <c r="L162" s="65"/>
      <c r="P162" s="70"/>
      <c r="Q162" s="15"/>
    </row>
    <row r="163" spans="1:17" ht="15">
      <c r="A163" s="27"/>
      <c r="B163" s="6" t="s">
        <v>135</v>
      </c>
      <c r="C163" s="2"/>
      <c r="D163" s="49">
        <v>5481</v>
      </c>
      <c r="E163" s="7" t="s">
        <v>72</v>
      </c>
      <c r="F163" s="41"/>
      <c r="G163" s="49">
        <v>5897</v>
      </c>
      <c r="H163" s="7" t="s">
        <v>72</v>
      </c>
      <c r="I163" s="41"/>
      <c r="J163" s="49">
        <v>6209</v>
      </c>
      <c r="K163" s="7" t="s">
        <v>72</v>
      </c>
      <c r="L163" s="65"/>
      <c r="M163" s="14"/>
      <c r="N163" s="15"/>
      <c r="O163" s="16"/>
      <c r="P163" s="70"/>
      <c r="Q163" s="15"/>
    </row>
    <row r="164" spans="1:17" ht="15">
      <c r="A164" s="27"/>
      <c r="B164" s="6" t="s">
        <v>139</v>
      </c>
      <c r="C164" s="2"/>
      <c r="D164" s="49">
        <v>5762</v>
      </c>
      <c r="E164" s="7" t="s">
        <v>72</v>
      </c>
      <c r="F164" s="41"/>
      <c r="G164" s="49">
        <v>6188</v>
      </c>
      <c r="H164" s="7" t="s">
        <v>72</v>
      </c>
      <c r="I164" s="41"/>
      <c r="J164" s="49">
        <v>6521</v>
      </c>
      <c r="K164" s="7" t="s">
        <v>72</v>
      </c>
      <c r="L164" s="65"/>
      <c r="M164" s="14"/>
      <c r="N164" s="15"/>
      <c r="O164" s="16"/>
      <c r="P164" s="70"/>
      <c r="Q164" s="15"/>
    </row>
    <row r="165" spans="1:17" ht="15">
      <c r="A165" s="27"/>
      <c r="B165" s="6" t="s">
        <v>137</v>
      </c>
      <c r="C165" s="2"/>
      <c r="D165" s="49">
        <v>5489</v>
      </c>
      <c r="E165" s="7" t="s">
        <v>72</v>
      </c>
      <c r="F165" s="41"/>
      <c r="G165" s="49">
        <v>5988</v>
      </c>
      <c r="H165" s="7" t="s">
        <v>72</v>
      </c>
      <c r="I165" s="41"/>
      <c r="J165" s="49">
        <v>6487</v>
      </c>
      <c r="K165" s="7" t="s">
        <v>72</v>
      </c>
      <c r="L165" s="65"/>
      <c r="M165" s="14"/>
      <c r="N165" s="15"/>
      <c r="O165" s="16"/>
      <c r="P165" s="70"/>
      <c r="Q165" s="15"/>
    </row>
    <row r="166" spans="1:17" ht="15">
      <c r="A166" s="27"/>
      <c r="B166" s="6" t="s">
        <v>140</v>
      </c>
      <c r="C166" s="2"/>
      <c r="D166" s="49">
        <v>5764</v>
      </c>
      <c r="E166" s="7" t="s">
        <v>72</v>
      </c>
      <c r="F166" s="41"/>
      <c r="G166" s="49">
        <v>6288</v>
      </c>
      <c r="H166" s="7" t="s">
        <v>72</v>
      </c>
      <c r="I166" s="41"/>
      <c r="J166" s="49">
        <v>6812</v>
      </c>
      <c r="K166" s="7" t="s">
        <v>72</v>
      </c>
      <c r="L166" s="65"/>
      <c r="M166" s="14"/>
      <c r="N166" s="15"/>
      <c r="O166" s="16"/>
      <c r="P166" s="70"/>
      <c r="Q166" s="15"/>
    </row>
    <row r="167" spans="1:17" ht="15">
      <c r="A167" s="27"/>
      <c r="B167" s="6" t="s">
        <v>136</v>
      </c>
      <c r="C167" s="2"/>
      <c r="D167" s="49">
        <v>6127</v>
      </c>
      <c r="E167" s="7" t="s">
        <v>72</v>
      </c>
      <c r="F167" s="41"/>
      <c r="G167" s="49">
        <v>6684</v>
      </c>
      <c r="H167" s="7" t="s">
        <v>72</v>
      </c>
      <c r="I167" s="41"/>
      <c r="J167" s="49">
        <v>7241</v>
      </c>
      <c r="K167" s="7" t="s">
        <v>72</v>
      </c>
      <c r="L167" s="65"/>
      <c r="M167" s="14"/>
      <c r="N167" s="15"/>
      <c r="O167" s="16"/>
      <c r="P167" s="70"/>
      <c r="Q167" s="15"/>
    </row>
    <row r="168" spans="1:17" ht="15">
      <c r="A168" s="27"/>
      <c r="B168" s="6" t="s">
        <v>141</v>
      </c>
      <c r="C168" s="2"/>
      <c r="D168" s="49">
        <v>6433</v>
      </c>
      <c r="E168" s="7" t="s">
        <v>72</v>
      </c>
      <c r="F168" s="41"/>
      <c r="G168" s="49">
        <v>7018</v>
      </c>
      <c r="H168" s="7" t="s">
        <v>72</v>
      </c>
      <c r="I168" s="41"/>
      <c r="J168" s="49">
        <v>7603</v>
      </c>
      <c r="K168" s="7" t="s">
        <v>72</v>
      </c>
      <c r="L168" s="65"/>
      <c r="M168" s="14"/>
      <c r="N168" s="15"/>
      <c r="O168" s="16"/>
      <c r="P168" s="70"/>
      <c r="Q168" s="15"/>
    </row>
    <row r="169" spans="1:17" ht="15">
      <c r="A169" s="27"/>
      <c r="B169" s="6" t="s">
        <v>134</v>
      </c>
      <c r="C169" s="2"/>
      <c r="D169" s="49">
        <v>5776</v>
      </c>
      <c r="E169" s="7" t="s">
        <v>72</v>
      </c>
      <c r="F169" s="41"/>
      <c r="G169" s="49">
        <v>6287</v>
      </c>
      <c r="H169" s="7" t="s">
        <v>72</v>
      </c>
      <c r="I169" s="41"/>
      <c r="J169" s="49">
        <v>6798</v>
      </c>
      <c r="K169" s="7" t="s">
        <v>72</v>
      </c>
      <c r="L169" s="65"/>
      <c r="M169" s="14"/>
      <c r="N169" s="15"/>
      <c r="O169" s="16"/>
      <c r="P169" s="70"/>
      <c r="Q169" s="15"/>
    </row>
    <row r="170" spans="1:17" ht="15">
      <c r="A170" s="27"/>
      <c r="B170" s="6" t="s">
        <v>138</v>
      </c>
      <c r="C170" s="2"/>
      <c r="D170" s="49">
        <v>6064</v>
      </c>
      <c r="E170" s="7" t="s">
        <v>72</v>
      </c>
      <c r="F170" s="41"/>
      <c r="G170" s="49">
        <v>6601</v>
      </c>
      <c r="H170" s="7" t="s">
        <v>72</v>
      </c>
      <c r="I170" s="41"/>
      <c r="J170" s="49">
        <v>7137</v>
      </c>
      <c r="K170" s="7" t="s">
        <v>72</v>
      </c>
      <c r="L170" s="65"/>
      <c r="M170" s="14"/>
      <c r="N170" s="15"/>
      <c r="O170" s="16"/>
      <c r="P170" s="70"/>
      <c r="Q170" s="15"/>
    </row>
    <row r="171" spans="1:17" ht="15">
      <c r="A171" s="27"/>
      <c r="B171" s="8" t="s">
        <v>142</v>
      </c>
      <c r="C171" s="2"/>
      <c r="D171" s="91"/>
      <c r="E171" s="91"/>
      <c r="F171" s="33"/>
      <c r="G171" s="91"/>
      <c r="H171" s="91"/>
      <c r="I171" s="34"/>
      <c r="J171" s="91"/>
      <c r="K171" s="91"/>
      <c r="L171" s="62"/>
      <c r="P171" s="86"/>
      <c r="Q171" s="86"/>
    </row>
    <row r="172" spans="1:17" ht="15">
      <c r="A172" s="27"/>
      <c r="B172" s="6" t="s">
        <v>144</v>
      </c>
      <c r="C172" s="2"/>
      <c r="D172" s="49">
        <v>6324</v>
      </c>
      <c r="E172" s="7" t="s">
        <v>72</v>
      </c>
      <c r="F172" s="41"/>
      <c r="G172" s="49">
        <v>6792</v>
      </c>
      <c r="H172" s="7" t="s">
        <v>72</v>
      </c>
      <c r="I172" s="41"/>
      <c r="J172" s="49">
        <v>7166</v>
      </c>
      <c r="K172" s="7" t="s">
        <v>72</v>
      </c>
      <c r="L172" s="65"/>
      <c r="M172" s="14"/>
      <c r="N172" s="15"/>
      <c r="O172" s="16"/>
      <c r="P172" s="70"/>
      <c r="Q172" s="15"/>
    </row>
    <row r="173" spans="1:17" ht="15">
      <c r="A173" s="27"/>
      <c r="B173" s="6" t="s">
        <v>148</v>
      </c>
      <c r="C173" s="2"/>
      <c r="D173" s="49">
        <v>6646</v>
      </c>
      <c r="E173" s="7" t="s">
        <v>72</v>
      </c>
      <c r="F173" s="41"/>
      <c r="G173" s="49">
        <v>7135</v>
      </c>
      <c r="H173" s="7" t="s">
        <v>72</v>
      </c>
      <c r="I173" s="41"/>
      <c r="J173" s="49">
        <v>7520</v>
      </c>
      <c r="K173" s="7" t="s">
        <v>72</v>
      </c>
      <c r="L173" s="65"/>
      <c r="M173" s="14"/>
      <c r="N173" s="15"/>
      <c r="O173" s="16"/>
      <c r="P173" s="70"/>
      <c r="Q173" s="15"/>
    </row>
    <row r="174" spans="1:17" ht="15">
      <c r="A174" s="27"/>
      <c r="B174" s="6" t="s">
        <v>145</v>
      </c>
      <c r="C174" s="2"/>
      <c r="D174" s="49">
        <v>6405</v>
      </c>
      <c r="E174" s="7" t="s">
        <v>72</v>
      </c>
      <c r="F174" s="41"/>
      <c r="G174" s="49">
        <v>6987</v>
      </c>
      <c r="H174" s="7" t="s">
        <v>72</v>
      </c>
      <c r="I174" s="41"/>
      <c r="J174" s="49">
        <v>7569</v>
      </c>
      <c r="K174" s="7" t="s">
        <v>72</v>
      </c>
      <c r="L174" s="65"/>
      <c r="M174" s="14"/>
      <c r="N174" s="15"/>
      <c r="O174" s="16"/>
      <c r="P174" s="70"/>
      <c r="Q174" s="15"/>
    </row>
    <row r="175" spans="1:17" ht="15">
      <c r="A175" s="27"/>
      <c r="B175" s="6" t="s">
        <v>149</v>
      </c>
      <c r="C175" s="2"/>
      <c r="D175" s="49">
        <v>6725</v>
      </c>
      <c r="E175" s="7" t="s">
        <v>72</v>
      </c>
      <c r="F175" s="41"/>
      <c r="G175" s="49">
        <v>7336</v>
      </c>
      <c r="H175" s="7" t="s">
        <v>72</v>
      </c>
      <c r="I175" s="41"/>
      <c r="J175" s="49">
        <v>7947</v>
      </c>
      <c r="K175" s="7" t="s">
        <v>72</v>
      </c>
      <c r="L175" s="65"/>
      <c r="M175" s="14"/>
      <c r="N175" s="15"/>
      <c r="O175" s="16"/>
      <c r="P175" s="70"/>
      <c r="Q175" s="15"/>
    </row>
    <row r="176" spans="1:17" ht="15">
      <c r="A176" s="27"/>
      <c r="B176" s="6" t="s">
        <v>146</v>
      </c>
      <c r="C176" s="2"/>
      <c r="D176" s="49">
        <v>7069</v>
      </c>
      <c r="E176" s="7" t="s">
        <v>72</v>
      </c>
      <c r="F176" s="41"/>
      <c r="G176" s="49">
        <v>7712</v>
      </c>
      <c r="H176" s="7" t="s">
        <v>72</v>
      </c>
      <c r="I176" s="41"/>
      <c r="J176" s="49">
        <v>8354</v>
      </c>
      <c r="K176" s="7" t="s">
        <v>72</v>
      </c>
      <c r="L176" s="65"/>
      <c r="M176" s="14"/>
      <c r="N176" s="15"/>
      <c r="O176" s="16"/>
      <c r="P176" s="70"/>
      <c r="Q176" s="15"/>
    </row>
    <row r="177" spans="1:17" ht="15">
      <c r="A177" s="27"/>
      <c r="B177" s="6" t="s">
        <v>143</v>
      </c>
      <c r="C177" s="2"/>
      <c r="D177" s="49">
        <v>6738</v>
      </c>
      <c r="E177" s="7" t="s">
        <v>72</v>
      </c>
      <c r="F177" s="41"/>
      <c r="G177" s="49">
        <v>7334</v>
      </c>
      <c r="H177" s="7" t="s">
        <v>72</v>
      </c>
      <c r="I177" s="41"/>
      <c r="J177" s="49">
        <v>7930</v>
      </c>
      <c r="K177" s="7" t="s">
        <v>72</v>
      </c>
      <c r="L177" s="65"/>
      <c r="M177" s="14"/>
      <c r="N177" s="15"/>
      <c r="O177" s="16"/>
      <c r="P177" s="70"/>
      <c r="Q177" s="15"/>
    </row>
    <row r="178" spans="1:17" ht="15">
      <c r="A178" s="27"/>
      <c r="B178" s="6" t="s">
        <v>147</v>
      </c>
      <c r="C178" s="2"/>
      <c r="D178" s="49">
        <v>7075</v>
      </c>
      <c r="E178" s="7" t="s">
        <v>72</v>
      </c>
      <c r="F178" s="41"/>
      <c r="G178" s="49">
        <v>7701</v>
      </c>
      <c r="H178" s="7" t="s">
        <v>72</v>
      </c>
      <c r="I178" s="41"/>
      <c r="J178" s="49">
        <v>8327</v>
      </c>
      <c r="K178" s="7" t="s">
        <v>72</v>
      </c>
      <c r="L178" s="65"/>
      <c r="M178" s="14"/>
      <c r="N178" s="15"/>
      <c r="O178" s="16"/>
      <c r="P178" s="70"/>
      <c r="Q178" s="15"/>
    </row>
    <row r="179" spans="1:17" ht="15">
      <c r="A179" s="27"/>
      <c r="B179" s="8" t="s">
        <v>150</v>
      </c>
      <c r="C179" s="2"/>
      <c r="D179" s="91"/>
      <c r="E179" s="91"/>
      <c r="F179" s="33"/>
      <c r="G179" s="91"/>
      <c r="H179" s="91"/>
      <c r="I179" s="34"/>
      <c r="J179" s="91"/>
      <c r="K179" s="91"/>
      <c r="L179" s="62"/>
      <c r="P179" s="86"/>
      <c r="Q179" s="86"/>
    </row>
    <row r="180" spans="1:17" ht="15">
      <c r="A180" s="27"/>
      <c r="B180" s="6" t="s">
        <v>152</v>
      </c>
      <c r="C180" s="2"/>
      <c r="D180" s="49">
        <v>7176</v>
      </c>
      <c r="E180" s="7" t="s">
        <v>72</v>
      </c>
      <c r="F180" s="41"/>
      <c r="G180" s="49">
        <v>7707</v>
      </c>
      <c r="H180" s="7" t="s">
        <v>72</v>
      </c>
      <c r="I180" s="41"/>
      <c r="J180" s="49">
        <v>8123</v>
      </c>
      <c r="K180" s="7" t="s">
        <v>72</v>
      </c>
      <c r="L180" s="65"/>
      <c r="M180" s="14"/>
      <c r="N180" s="15"/>
      <c r="O180" s="16"/>
      <c r="P180" s="70"/>
      <c r="Q180" s="15"/>
    </row>
    <row r="181" spans="1:17" ht="15">
      <c r="A181" s="27"/>
      <c r="B181" s="6" t="s">
        <v>156</v>
      </c>
      <c r="C181" s="2"/>
      <c r="D181" s="49">
        <v>7530</v>
      </c>
      <c r="E181" s="7" t="s">
        <v>72</v>
      </c>
      <c r="F181" s="41"/>
      <c r="G181" s="49">
        <v>8092</v>
      </c>
      <c r="H181" s="7" t="s">
        <v>72</v>
      </c>
      <c r="I181" s="41"/>
      <c r="J181" s="49">
        <v>8528</v>
      </c>
      <c r="K181" s="7" t="s">
        <v>72</v>
      </c>
      <c r="L181" s="65"/>
      <c r="M181" s="14"/>
      <c r="N181" s="15"/>
      <c r="O181" s="16"/>
      <c r="P181" s="70"/>
      <c r="Q181" s="15"/>
    </row>
    <row r="182" spans="1:17" ht="15">
      <c r="A182" s="27"/>
      <c r="B182" s="6" t="s">
        <v>153</v>
      </c>
      <c r="C182" s="2"/>
      <c r="D182" s="49">
        <v>7319</v>
      </c>
      <c r="E182" s="7" t="s">
        <v>72</v>
      </c>
      <c r="F182" s="41"/>
      <c r="G182" s="49">
        <v>7984</v>
      </c>
      <c r="H182" s="7" t="s">
        <v>72</v>
      </c>
      <c r="I182" s="41"/>
      <c r="J182" s="49">
        <v>8649</v>
      </c>
      <c r="K182" s="7" t="s">
        <v>72</v>
      </c>
      <c r="L182" s="65"/>
      <c r="M182" s="14"/>
      <c r="N182" s="15"/>
      <c r="O182" s="16"/>
      <c r="P182" s="70"/>
      <c r="Q182" s="15"/>
    </row>
    <row r="183" spans="1:17" ht="15">
      <c r="A183" s="27"/>
      <c r="B183" s="6" t="s">
        <v>157</v>
      </c>
      <c r="C183" s="2"/>
      <c r="D183" s="49">
        <v>7685</v>
      </c>
      <c r="E183" s="7" t="s">
        <v>72</v>
      </c>
      <c r="F183" s="41"/>
      <c r="G183" s="49">
        <v>8384</v>
      </c>
      <c r="H183" s="7" t="s">
        <v>72</v>
      </c>
      <c r="I183" s="41"/>
      <c r="J183" s="49">
        <v>9082</v>
      </c>
      <c r="K183" s="7" t="s">
        <v>72</v>
      </c>
      <c r="L183" s="65"/>
      <c r="M183" s="14"/>
      <c r="N183" s="15"/>
      <c r="O183" s="16"/>
      <c r="P183" s="70"/>
      <c r="Q183" s="15"/>
    </row>
    <row r="184" spans="1:17" ht="15">
      <c r="A184" s="27"/>
      <c r="B184" s="6" t="s">
        <v>154</v>
      </c>
      <c r="C184" s="2"/>
      <c r="D184" s="49">
        <v>8012</v>
      </c>
      <c r="E184" s="7" t="s">
        <v>72</v>
      </c>
      <c r="F184" s="41"/>
      <c r="G184" s="49">
        <v>8740</v>
      </c>
      <c r="H184" s="7" t="s">
        <v>72</v>
      </c>
      <c r="I184" s="41"/>
      <c r="J184" s="49">
        <v>9468</v>
      </c>
      <c r="K184" s="7" t="s">
        <v>72</v>
      </c>
      <c r="L184" s="65"/>
      <c r="M184" s="14"/>
      <c r="N184" s="15"/>
      <c r="O184" s="16"/>
      <c r="P184" s="70"/>
      <c r="Q184" s="15"/>
    </row>
    <row r="185" spans="1:17" ht="15">
      <c r="A185" s="27"/>
      <c r="B185" s="6" t="s">
        <v>158</v>
      </c>
      <c r="C185" s="2"/>
      <c r="D185" s="49">
        <v>8412</v>
      </c>
      <c r="E185" s="7" t="s">
        <v>72</v>
      </c>
      <c r="F185" s="41"/>
      <c r="G185" s="49">
        <v>9177</v>
      </c>
      <c r="H185" s="7" t="s">
        <v>72</v>
      </c>
      <c r="I185" s="41"/>
      <c r="J185" s="49">
        <v>9942</v>
      </c>
      <c r="K185" s="7" t="s">
        <v>72</v>
      </c>
      <c r="L185" s="65"/>
      <c r="M185" s="14"/>
      <c r="N185" s="15"/>
      <c r="O185" s="16"/>
      <c r="P185" s="70"/>
      <c r="Q185" s="15"/>
    </row>
    <row r="186" spans="1:17" ht="15">
      <c r="A186" s="27"/>
      <c r="B186" s="6" t="s">
        <v>151</v>
      </c>
      <c r="C186" s="2"/>
      <c r="D186" s="49">
        <v>7881.95</v>
      </c>
      <c r="E186" s="7" t="s">
        <v>72</v>
      </c>
      <c r="F186" s="41"/>
      <c r="G186" s="49">
        <v>8579.46</v>
      </c>
      <c r="H186" s="7" t="s">
        <v>72</v>
      </c>
      <c r="I186" s="41"/>
      <c r="J186" s="49">
        <v>6975.17</v>
      </c>
      <c r="K186" s="7" t="s">
        <v>72</v>
      </c>
      <c r="L186" s="65"/>
      <c r="M186" s="14"/>
      <c r="N186" s="15"/>
      <c r="O186" s="16"/>
      <c r="P186" s="70"/>
      <c r="Q186" s="15"/>
    </row>
    <row r="187" spans="1:17" ht="15">
      <c r="A187" s="27"/>
      <c r="B187" s="6" t="s">
        <v>155</v>
      </c>
      <c r="C187" s="2"/>
      <c r="D187" s="49">
        <v>8276.12</v>
      </c>
      <c r="E187" s="7" t="s">
        <v>72</v>
      </c>
      <c r="F187" s="41"/>
      <c r="G187" s="49">
        <v>9008.52</v>
      </c>
      <c r="H187" s="7" t="s">
        <v>72</v>
      </c>
      <c r="I187" s="41"/>
      <c r="J187" s="49">
        <v>9740.92</v>
      </c>
      <c r="K187" s="7" t="s">
        <v>72</v>
      </c>
      <c r="L187" s="65"/>
      <c r="M187" s="14"/>
      <c r="N187" s="15"/>
      <c r="O187" s="16"/>
      <c r="P187" s="70"/>
      <c r="Q187" s="15"/>
    </row>
    <row r="188" spans="1:17" ht="15">
      <c r="A188" s="27"/>
      <c r="B188" s="8" t="s">
        <v>159</v>
      </c>
      <c r="C188" s="2"/>
      <c r="D188" s="91"/>
      <c r="E188" s="91"/>
      <c r="F188" s="33"/>
      <c r="G188" s="91"/>
      <c r="H188" s="91"/>
      <c r="I188" s="34"/>
      <c r="J188" s="91"/>
      <c r="K188" s="91"/>
      <c r="L188" s="62"/>
      <c r="P188" s="86"/>
      <c r="Q188" s="86"/>
    </row>
    <row r="189" spans="1:17" ht="15">
      <c r="A189" s="27"/>
      <c r="B189" s="6" t="s">
        <v>160</v>
      </c>
      <c r="C189" s="2"/>
      <c r="D189" s="49">
        <v>12272</v>
      </c>
      <c r="E189" s="7" t="s">
        <v>72</v>
      </c>
      <c r="F189" s="41"/>
      <c r="G189" s="49">
        <v>13358</v>
      </c>
      <c r="H189" s="7" t="s">
        <v>72</v>
      </c>
      <c r="I189" s="41"/>
      <c r="J189" s="49">
        <v>14444</v>
      </c>
      <c r="K189" s="7" t="s">
        <v>72</v>
      </c>
      <c r="L189" s="65"/>
      <c r="P189" s="70"/>
      <c r="Q189" s="15"/>
    </row>
    <row r="190" spans="1:17" ht="15">
      <c r="A190" s="27"/>
      <c r="B190" s="6" t="s">
        <v>161</v>
      </c>
      <c r="C190" s="2"/>
      <c r="D190" s="49">
        <v>13190.04</v>
      </c>
      <c r="E190" s="7" t="s">
        <v>72</v>
      </c>
      <c r="F190" s="41"/>
      <c r="G190" s="49">
        <v>14357.3</v>
      </c>
      <c r="H190" s="7" t="s">
        <v>72</v>
      </c>
      <c r="I190" s="41"/>
      <c r="J190" s="49">
        <v>15285</v>
      </c>
      <c r="K190" s="7" t="s">
        <v>72</v>
      </c>
      <c r="L190" s="65"/>
      <c r="P190" s="70"/>
      <c r="Q190" s="15"/>
    </row>
    <row r="191" spans="1:17" ht="15">
      <c r="A191" s="27"/>
      <c r="B191" s="8" t="s">
        <v>162</v>
      </c>
      <c r="C191" s="2"/>
      <c r="D191" s="91"/>
      <c r="E191" s="91"/>
      <c r="F191" s="33"/>
      <c r="G191" s="91"/>
      <c r="H191" s="91"/>
      <c r="I191" s="34"/>
      <c r="J191" s="91"/>
      <c r="K191" s="91"/>
      <c r="L191" s="62"/>
      <c r="P191" s="86"/>
      <c r="Q191" s="86"/>
    </row>
    <row r="192" spans="1:17" ht="15">
      <c r="A192" s="27"/>
      <c r="B192" s="6" t="s">
        <v>163</v>
      </c>
      <c r="C192" s="2"/>
      <c r="D192" s="49">
        <v>15271.28</v>
      </c>
      <c r="E192" s="7" t="s">
        <v>72</v>
      </c>
      <c r="F192" s="41"/>
      <c r="G192" s="49">
        <v>16622.72</v>
      </c>
      <c r="H192" s="7" t="s">
        <v>72</v>
      </c>
      <c r="I192" s="41"/>
      <c r="J192" s="49">
        <v>17460</v>
      </c>
      <c r="K192" s="7" t="s">
        <v>72</v>
      </c>
      <c r="L192" s="65"/>
      <c r="P192" s="70"/>
      <c r="Q192" s="15"/>
    </row>
    <row r="193" spans="1:17" ht="15">
      <c r="A193" s="27"/>
      <c r="B193" s="6" t="s">
        <v>164</v>
      </c>
      <c r="C193" s="2"/>
      <c r="D193" s="49">
        <v>16034.95</v>
      </c>
      <c r="E193" s="7" t="s">
        <v>72</v>
      </c>
      <c r="F193" s="41"/>
      <c r="G193" s="49">
        <v>17453.98</v>
      </c>
      <c r="H193" s="7" t="s">
        <v>72</v>
      </c>
      <c r="I193" s="41"/>
      <c r="J193" s="49">
        <v>18245.5</v>
      </c>
      <c r="K193" s="7" t="s">
        <v>72</v>
      </c>
      <c r="L193" s="65"/>
      <c r="P193" s="70"/>
      <c r="Q193" s="15"/>
    </row>
    <row r="194" spans="1:17" ht="15">
      <c r="A194" s="27"/>
      <c r="B194" s="8" t="s">
        <v>165</v>
      </c>
      <c r="C194" s="2"/>
      <c r="D194" s="91"/>
      <c r="E194" s="91"/>
      <c r="F194" s="33"/>
      <c r="G194" s="91"/>
      <c r="H194" s="91"/>
      <c r="I194" s="34"/>
      <c r="J194" s="91"/>
      <c r="K194" s="91"/>
      <c r="L194" s="62"/>
      <c r="P194" s="86"/>
      <c r="Q194" s="86"/>
    </row>
    <row r="195" spans="1:17" ht="15">
      <c r="A195" s="27"/>
      <c r="B195" s="6" t="s">
        <v>166</v>
      </c>
      <c r="C195" s="2"/>
      <c r="D195" s="49">
        <v>17241.76</v>
      </c>
      <c r="E195" s="7" t="s">
        <v>72</v>
      </c>
      <c r="F195" s="41"/>
      <c r="G195" s="49">
        <v>18767.58</v>
      </c>
      <c r="H195" s="7" t="s">
        <v>72</v>
      </c>
      <c r="I195" s="41"/>
      <c r="J195" s="49">
        <v>19545.12</v>
      </c>
      <c r="K195" s="7" t="s">
        <v>72</v>
      </c>
      <c r="L195" s="65"/>
      <c r="P195" s="70"/>
      <c r="Q195" s="15"/>
    </row>
    <row r="196" spans="1:17" ht="15">
      <c r="A196" s="27"/>
      <c r="B196" s="6" t="s">
        <v>167</v>
      </c>
      <c r="C196" s="2"/>
      <c r="D196" s="49">
        <v>18103.97</v>
      </c>
      <c r="E196" s="7" t="s">
        <v>72</v>
      </c>
      <c r="F196" s="41"/>
      <c r="G196" s="49">
        <v>19706.09</v>
      </c>
      <c r="H196" s="7" t="s">
        <v>72</v>
      </c>
      <c r="I196" s="41"/>
      <c r="J196" s="49" t="s">
        <v>516</v>
      </c>
      <c r="K196" s="7" t="s">
        <v>72</v>
      </c>
      <c r="L196" s="65"/>
      <c r="P196" s="70"/>
      <c r="Q196" s="15"/>
    </row>
    <row r="197" spans="1:17" ht="15">
      <c r="A197" s="27"/>
      <c r="B197" s="8" t="s">
        <v>168</v>
      </c>
      <c r="C197" s="2"/>
      <c r="D197" s="91"/>
      <c r="E197" s="91"/>
      <c r="F197" s="33"/>
      <c r="G197" s="91"/>
      <c r="H197" s="91"/>
      <c r="I197" s="34"/>
      <c r="J197" s="91"/>
      <c r="K197" s="91"/>
      <c r="L197" s="62"/>
      <c r="P197" s="86"/>
      <c r="Q197" s="86"/>
    </row>
    <row r="198" spans="1:17" ht="15">
      <c r="A198" s="27"/>
      <c r="B198" s="6" t="s">
        <v>169</v>
      </c>
      <c r="C198" s="2"/>
      <c r="D198" s="49">
        <v>18773.86</v>
      </c>
      <c r="E198" s="7" t="s">
        <v>72</v>
      </c>
      <c r="F198" s="41"/>
      <c r="G198" s="49">
        <v>20435.26</v>
      </c>
      <c r="H198" s="7" t="s">
        <v>72</v>
      </c>
      <c r="I198" s="41"/>
      <c r="J198" s="49" t="s">
        <v>517</v>
      </c>
      <c r="K198" s="7" t="s">
        <v>72</v>
      </c>
      <c r="L198" s="65"/>
      <c r="P198" s="70"/>
      <c r="Q198" s="15"/>
    </row>
    <row r="199" spans="1:17" ht="15">
      <c r="A199" s="27"/>
      <c r="B199" s="6" t="s">
        <v>170</v>
      </c>
      <c r="C199" s="2"/>
      <c r="D199" s="49">
        <v>19713.02</v>
      </c>
      <c r="E199" s="7" t="s">
        <v>72</v>
      </c>
      <c r="F199" s="41"/>
      <c r="G199" s="49">
        <v>21457.54</v>
      </c>
      <c r="H199" s="7" t="s">
        <v>72</v>
      </c>
      <c r="I199" s="41"/>
      <c r="J199" s="49">
        <v>22298.3</v>
      </c>
      <c r="K199" s="7" t="s">
        <v>72</v>
      </c>
      <c r="L199" s="65"/>
      <c r="P199" s="70"/>
      <c r="Q199" s="15"/>
    </row>
    <row r="200" spans="1:17" ht="15">
      <c r="A200" s="27"/>
      <c r="B200" s="5" t="s">
        <v>171</v>
      </c>
      <c r="C200" s="2"/>
      <c r="D200" s="90"/>
      <c r="E200" s="90"/>
      <c r="F200" s="33"/>
      <c r="G200" s="90"/>
      <c r="H200" s="90"/>
      <c r="I200" s="34"/>
      <c r="J200" s="90"/>
      <c r="K200" s="90"/>
      <c r="L200" s="62"/>
      <c r="P200" s="86"/>
      <c r="Q200" s="86"/>
    </row>
    <row r="201" spans="1:17" ht="15">
      <c r="A201" s="27"/>
      <c r="B201" s="8" t="s">
        <v>172</v>
      </c>
      <c r="C201" s="2"/>
      <c r="D201" s="91"/>
      <c r="E201" s="91"/>
      <c r="F201" s="33"/>
      <c r="G201" s="91"/>
      <c r="H201" s="91"/>
      <c r="I201" s="34"/>
      <c r="J201" s="91"/>
      <c r="K201" s="91"/>
      <c r="L201" s="62"/>
      <c r="P201" s="86"/>
      <c r="Q201" s="86"/>
    </row>
    <row r="202" spans="1:17" ht="15">
      <c r="A202" s="27"/>
      <c r="B202" s="6" t="s">
        <v>173</v>
      </c>
      <c r="C202" s="2"/>
      <c r="D202" s="49">
        <v>2762.85</v>
      </c>
      <c r="E202" s="7" t="s">
        <v>72</v>
      </c>
      <c r="F202" s="41"/>
      <c r="G202" s="49">
        <v>3007.35</v>
      </c>
      <c r="H202" s="7" t="s">
        <v>72</v>
      </c>
      <c r="I202" s="41"/>
      <c r="J202" s="49">
        <v>3251.85</v>
      </c>
      <c r="K202" s="7" t="s">
        <v>72</v>
      </c>
      <c r="L202" s="65"/>
      <c r="P202" s="70"/>
      <c r="Q202" s="15"/>
    </row>
    <row r="203" spans="1:17" ht="15">
      <c r="A203" s="27"/>
      <c r="B203" s="6" t="s">
        <v>184</v>
      </c>
      <c r="C203" s="2"/>
      <c r="D203" s="49">
        <v>2901</v>
      </c>
      <c r="E203" s="7" t="s">
        <v>72</v>
      </c>
      <c r="F203" s="41"/>
      <c r="G203" s="49">
        <v>3157.72</v>
      </c>
      <c r="H203" s="7" t="s">
        <v>72</v>
      </c>
      <c r="I203" s="41"/>
      <c r="J203" s="49">
        <v>3414.45</v>
      </c>
      <c r="K203" s="7" t="s">
        <v>72</v>
      </c>
      <c r="L203" s="65"/>
      <c r="P203" s="70"/>
      <c r="Q203" s="15"/>
    </row>
    <row r="204" spans="1:17" ht="15">
      <c r="A204" s="27"/>
      <c r="B204" s="8" t="s">
        <v>174</v>
      </c>
      <c r="C204" s="2"/>
      <c r="D204" s="91"/>
      <c r="E204" s="91"/>
      <c r="F204" s="33"/>
      <c r="G204" s="91"/>
      <c r="H204" s="91"/>
      <c r="I204" s="34"/>
      <c r="J204" s="91"/>
      <c r="K204" s="91"/>
      <c r="L204" s="62"/>
      <c r="P204" s="86"/>
      <c r="Q204" s="86"/>
    </row>
    <row r="205" spans="1:17" ht="15">
      <c r="A205" s="27"/>
      <c r="B205" s="6" t="s">
        <v>175</v>
      </c>
      <c r="C205" s="2"/>
      <c r="D205" s="49">
        <v>4144.28</v>
      </c>
      <c r="E205" s="7" t="s">
        <v>72</v>
      </c>
      <c r="F205" s="41"/>
      <c r="G205" s="49">
        <v>4511.03</v>
      </c>
      <c r="H205" s="7" t="s">
        <v>72</v>
      </c>
      <c r="I205" s="41"/>
      <c r="J205" s="49">
        <v>4877.78</v>
      </c>
      <c r="K205" s="7" t="s">
        <v>72</v>
      </c>
      <c r="L205" s="65"/>
      <c r="P205" s="70"/>
      <c r="Q205" s="15"/>
    </row>
    <row r="206" spans="1:17" ht="15">
      <c r="A206" s="27"/>
      <c r="B206" s="6" t="s">
        <v>185</v>
      </c>
      <c r="C206" s="2"/>
      <c r="D206" s="49">
        <v>4351.49</v>
      </c>
      <c r="E206" s="7" t="s">
        <v>72</v>
      </c>
      <c r="F206" s="41"/>
      <c r="G206" s="49">
        <v>4736.58</v>
      </c>
      <c r="H206" s="7" t="s">
        <v>72</v>
      </c>
      <c r="I206" s="41"/>
      <c r="J206" s="49">
        <v>5121.66</v>
      </c>
      <c r="K206" s="7" t="s">
        <v>72</v>
      </c>
      <c r="L206" s="65"/>
      <c r="P206" s="70"/>
      <c r="Q206" s="15"/>
    </row>
    <row r="207" spans="1:17" ht="15">
      <c r="A207" s="27"/>
      <c r="B207" s="8" t="s">
        <v>119</v>
      </c>
      <c r="C207" s="2"/>
      <c r="D207" s="91"/>
      <c r="E207" s="91"/>
      <c r="F207" s="33"/>
      <c r="G207" s="91"/>
      <c r="H207" s="91"/>
      <c r="I207" s="34"/>
      <c r="J207" s="91"/>
      <c r="K207" s="91"/>
      <c r="L207" s="62"/>
      <c r="P207" s="86"/>
      <c r="Q207" s="86"/>
    </row>
    <row r="208" spans="1:17" ht="15">
      <c r="A208" s="27"/>
      <c r="B208" s="6" t="s">
        <v>176</v>
      </c>
      <c r="C208" s="2"/>
      <c r="D208" s="49">
        <v>5525.7</v>
      </c>
      <c r="E208" s="7" t="s">
        <v>6</v>
      </c>
      <c r="F208" s="41"/>
      <c r="G208" s="49">
        <v>6014.7</v>
      </c>
      <c r="H208" s="7" t="s">
        <v>6</v>
      </c>
      <c r="I208" s="41"/>
      <c r="J208" s="49">
        <v>6503.7</v>
      </c>
      <c r="K208" s="7" t="s">
        <v>6</v>
      </c>
      <c r="L208" s="65"/>
      <c r="P208" s="70"/>
      <c r="Q208" s="15"/>
    </row>
    <row r="209" spans="1:17" ht="15">
      <c r="A209" s="27"/>
      <c r="B209" s="6" t="s">
        <v>186</v>
      </c>
      <c r="C209" s="2"/>
      <c r="D209" s="49">
        <v>5801.99</v>
      </c>
      <c r="E209" s="7" t="s">
        <v>72</v>
      </c>
      <c r="F209" s="41"/>
      <c r="G209" s="49">
        <v>6315.44</v>
      </c>
      <c r="H209" s="7" t="s">
        <v>72</v>
      </c>
      <c r="I209" s="41"/>
      <c r="J209" s="49">
        <v>6828.89</v>
      </c>
      <c r="K209" s="7" t="s">
        <v>72</v>
      </c>
      <c r="L209" s="65"/>
      <c r="P209" s="70"/>
      <c r="Q209" s="15"/>
    </row>
    <row r="210" spans="1:17" ht="15">
      <c r="A210" s="27"/>
      <c r="B210" s="8" t="s">
        <v>177</v>
      </c>
      <c r="C210" s="2"/>
      <c r="D210" s="91"/>
      <c r="E210" s="91"/>
      <c r="F210" s="33"/>
      <c r="G210" s="91"/>
      <c r="H210" s="91"/>
      <c r="I210" s="34"/>
      <c r="J210" s="91"/>
      <c r="K210" s="91"/>
      <c r="L210" s="62"/>
      <c r="P210" s="86"/>
      <c r="Q210" s="86"/>
    </row>
    <row r="211" spans="1:17" ht="15">
      <c r="A211" s="27"/>
      <c r="B211" s="6" t="s">
        <v>178</v>
      </c>
      <c r="C211" s="2"/>
      <c r="D211" s="49">
        <v>6907.13</v>
      </c>
      <c r="E211" s="7" t="s">
        <v>72</v>
      </c>
      <c r="F211" s="41"/>
      <c r="G211" s="49">
        <v>7518.38</v>
      </c>
      <c r="H211" s="7" t="s">
        <v>72</v>
      </c>
      <c r="I211" s="41"/>
      <c r="J211" s="49">
        <v>8129.63</v>
      </c>
      <c r="K211" s="7" t="s">
        <v>72</v>
      </c>
      <c r="L211" s="65"/>
      <c r="P211" s="70"/>
      <c r="Q211" s="15"/>
    </row>
    <row r="212" spans="1:17" ht="15">
      <c r="A212" s="27"/>
      <c r="B212" s="6" t="s">
        <v>187</v>
      </c>
      <c r="C212" s="2"/>
      <c r="D212" s="49">
        <v>7252.48</v>
      </c>
      <c r="E212" s="7" t="s">
        <v>72</v>
      </c>
      <c r="F212" s="41"/>
      <c r="G212" s="49">
        <v>7894.29</v>
      </c>
      <c r="H212" s="7" t="s">
        <v>72</v>
      </c>
      <c r="I212" s="41"/>
      <c r="J212" s="49">
        <v>8536.1</v>
      </c>
      <c r="K212" s="7" t="s">
        <v>72</v>
      </c>
      <c r="L212" s="65"/>
      <c r="P212" s="70"/>
      <c r="Q212" s="15"/>
    </row>
    <row r="213" spans="1:17" ht="15">
      <c r="A213" s="27"/>
      <c r="B213" s="8" t="s">
        <v>131</v>
      </c>
      <c r="C213" s="2"/>
      <c r="D213" s="91"/>
      <c r="E213" s="91"/>
      <c r="F213" s="33"/>
      <c r="G213" s="91"/>
      <c r="H213" s="91"/>
      <c r="I213" s="34"/>
      <c r="J213" s="91"/>
      <c r="K213" s="91"/>
      <c r="L213" s="62"/>
      <c r="P213" s="86"/>
      <c r="Q213" s="86"/>
    </row>
    <row r="214" spans="1:17" ht="15">
      <c r="A214" s="27"/>
      <c r="B214" s="6" t="s">
        <v>179</v>
      </c>
      <c r="C214" s="2"/>
      <c r="D214" s="49">
        <v>8288.55</v>
      </c>
      <c r="E214" s="7" t="s">
        <v>72</v>
      </c>
      <c r="F214" s="41"/>
      <c r="G214" s="49">
        <v>9022.05</v>
      </c>
      <c r="H214" s="7" t="s">
        <v>72</v>
      </c>
      <c r="I214" s="41"/>
      <c r="J214" s="49">
        <v>9755.55</v>
      </c>
      <c r="K214" s="7" t="s">
        <v>72</v>
      </c>
      <c r="L214" s="65"/>
      <c r="P214" s="70"/>
      <c r="Q214" s="15"/>
    </row>
    <row r="215" spans="1:17" ht="15">
      <c r="A215" s="27"/>
      <c r="B215" s="6" t="s">
        <v>188</v>
      </c>
      <c r="C215" s="2"/>
      <c r="D215" s="49">
        <v>8702.98</v>
      </c>
      <c r="E215" s="7" t="s">
        <v>72</v>
      </c>
      <c r="F215" s="41"/>
      <c r="G215" s="49">
        <v>9473.16</v>
      </c>
      <c r="H215" s="7" t="s">
        <v>72</v>
      </c>
      <c r="I215" s="41"/>
      <c r="J215" s="49">
        <v>10243.33</v>
      </c>
      <c r="K215" s="7" t="s">
        <v>72</v>
      </c>
      <c r="L215" s="65"/>
      <c r="P215" s="70"/>
      <c r="Q215" s="15"/>
    </row>
    <row r="216" spans="1:17" ht="15">
      <c r="A216" s="27"/>
      <c r="B216" s="8" t="s">
        <v>142</v>
      </c>
      <c r="C216" s="2"/>
      <c r="D216" s="91"/>
      <c r="E216" s="91"/>
      <c r="F216" s="33"/>
      <c r="G216" s="91"/>
      <c r="H216" s="91"/>
      <c r="I216" s="34"/>
      <c r="J216" s="91"/>
      <c r="K216" s="91"/>
      <c r="L216" s="62"/>
      <c r="P216" s="86"/>
      <c r="Q216" s="86"/>
    </row>
    <row r="217" spans="1:17" ht="15">
      <c r="A217" s="27"/>
      <c r="B217" s="6" t="s">
        <v>180</v>
      </c>
      <c r="C217" s="2"/>
      <c r="D217" s="49">
        <v>11051.4</v>
      </c>
      <c r="E217" s="7" t="s">
        <v>72</v>
      </c>
      <c r="F217" s="41"/>
      <c r="G217" s="49">
        <v>12029.4</v>
      </c>
      <c r="H217" s="7" t="s">
        <v>72</v>
      </c>
      <c r="I217" s="41"/>
      <c r="J217" s="49">
        <v>13007.4</v>
      </c>
      <c r="K217" s="7" t="s">
        <v>72</v>
      </c>
      <c r="L217" s="65"/>
      <c r="P217" s="70"/>
      <c r="Q217" s="15"/>
    </row>
    <row r="218" spans="1:17" ht="15">
      <c r="A218" s="27"/>
      <c r="B218" s="6" t="s">
        <v>189</v>
      </c>
      <c r="C218" s="2"/>
      <c r="D218" s="49">
        <v>11603.97</v>
      </c>
      <c r="E218" s="7" t="s">
        <v>72</v>
      </c>
      <c r="F218" s="41"/>
      <c r="G218" s="49">
        <v>12630.87</v>
      </c>
      <c r="H218" s="7" t="s">
        <v>72</v>
      </c>
      <c r="I218" s="41"/>
      <c r="J218" s="49">
        <v>13657.77</v>
      </c>
      <c r="K218" s="7" t="s">
        <v>72</v>
      </c>
      <c r="L218" s="65"/>
      <c r="P218" s="70"/>
      <c r="Q218" s="15"/>
    </row>
    <row r="219" spans="1:17" ht="15">
      <c r="A219" s="27"/>
      <c r="B219" s="8" t="s">
        <v>150</v>
      </c>
      <c r="C219" s="2"/>
      <c r="D219" s="91"/>
      <c r="E219" s="91"/>
      <c r="F219" s="33"/>
      <c r="G219" s="91"/>
      <c r="H219" s="91"/>
      <c r="I219" s="34"/>
      <c r="J219" s="91"/>
      <c r="K219" s="91"/>
      <c r="L219" s="62"/>
      <c r="P219" s="86"/>
      <c r="Q219" s="86"/>
    </row>
    <row r="220" spans="1:17" ht="15">
      <c r="A220" s="27"/>
      <c r="B220" s="6" t="s">
        <v>181</v>
      </c>
      <c r="C220" s="2"/>
      <c r="D220" s="49">
        <v>13814.25</v>
      </c>
      <c r="E220" s="7" t="s">
        <v>72</v>
      </c>
      <c r="F220" s="41"/>
      <c r="G220" s="49" t="s">
        <v>518</v>
      </c>
      <c r="H220" s="7" t="s">
        <v>72</v>
      </c>
      <c r="I220" s="41"/>
      <c r="J220" s="49">
        <v>16259.25</v>
      </c>
      <c r="K220" s="7" t="s">
        <v>72</v>
      </c>
      <c r="L220" s="65"/>
      <c r="P220" s="70"/>
      <c r="Q220" s="15"/>
    </row>
    <row r="221" spans="1:17" ht="16.5" customHeight="1">
      <c r="A221" s="27"/>
      <c r="B221" s="6" t="s">
        <v>190</v>
      </c>
      <c r="C221" s="2"/>
      <c r="D221" s="49">
        <v>14504.97</v>
      </c>
      <c r="E221" s="7" t="s">
        <v>72</v>
      </c>
      <c r="F221" s="41"/>
      <c r="G221" s="49">
        <v>15788.59</v>
      </c>
      <c r="H221" s="7" t="s">
        <v>72</v>
      </c>
      <c r="I221" s="41"/>
      <c r="J221" s="49">
        <v>17072.22</v>
      </c>
      <c r="K221" s="7" t="s">
        <v>72</v>
      </c>
      <c r="L221" s="65"/>
      <c r="P221" s="70"/>
      <c r="Q221" s="15"/>
    </row>
    <row r="222" spans="1:17" ht="15">
      <c r="A222" s="27"/>
      <c r="B222" s="8" t="s">
        <v>182</v>
      </c>
      <c r="C222" s="2"/>
      <c r="D222" s="91"/>
      <c r="E222" s="91"/>
      <c r="F222" s="33"/>
      <c r="G222" s="91"/>
      <c r="H222" s="91"/>
      <c r="I222" s="34"/>
      <c r="J222" s="91"/>
      <c r="K222" s="91"/>
      <c r="L222" s="62"/>
      <c r="P222" s="86"/>
      <c r="Q222" s="86"/>
    </row>
    <row r="223" spans="1:17" ht="15">
      <c r="A223" s="27"/>
      <c r="B223" s="6" t="s">
        <v>183</v>
      </c>
      <c r="C223" s="2"/>
      <c r="D223" s="49">
        <v>16577.1</v>
      </c>
      <c r="E223" s="7" t="s">
        <v>72</v>
      </c>
      <c r="F223" s="41"/>
      <c r="G223" s="49">
        <v>15696.9</v>
      </c>
      <c r="H223" s="7" t="s">
        <v>72</v>
      </c>
      <c r="I223" s="41"/>
      <c r="J223" s="49">
        <v>15696.9</v>
      </c>
      <c r="K223" s="7" t="s">
        <v>72</v>
      </c>
      <c r="L223" s="65"/>
      <c r="P223" s="70"/>
      <c r="Q223" s="15"/>
    </row>
    <row r="224" spans="1:17" ht="15">
      <c r="A224" s="27"/>
      <c r="B224" s="3" t="s">
        <v>191</v>
      </c>
      <c r="C224" s="4"/>
      <c r="D224" s="94"/>
      <c r="E224" s="94"/>
      <c r="F224" s="55"/>
      <c r="G224" s="92"/>
      <c r="H224" s="92"/>
      <c r="I224" s="55"/>
      <c r="J224" s="92"/>
      <c r="K224" s="92"/>
      <c r="L224" s="62"/>
      <c r="P224" s="86"/>
      <c r="Q224" s="86"/>
    </row>
    <row r="225" spans="1:17" ht="15">
      <c r="A225" s="27"/>
      <c r="B225" s="5" t="s">
        <v>192</v>
      </c>
      <c r="C225" s="2"/>
      <c r="D225" s="90"/>
      <c r="E225" s="90"/>
      <c r="F225" s="33"/>
      <c r="G225" s="90"/>
      <c r="H225" s="90"/>
      <c r="I225" s="34"/>
      <c r="J225" s="90"/>
      <c r="K225" s="90"/>
      <c r="L225" s="62"/>
      <c r="P225" s="86"/>
      <c r="Q225" s="86"/>
    </row>
    <row r="226" spans="1:17" ht="15">
      <c r="A226" s="27"/>
      <c r="B226" s="6" t="s">
        <v>456</v>
      </c>
      <c r="C226" s="2"/>
      <c r="D226" s="49">
        <v>3916</v>
      </c>
      <c r="E226" s="7" t="s">
        <v>72</v>
      </c>
      <c r="F226" s="41"/>
      <c r="G226" s="49">
        <v>3708</v>
      </c>
      <c r="H226" s="7" t="s">
        <v>72</v>
      </c>
      <c r="I226" s="41"/>
      <c r="J226" s="49">
        <v>3708</v>
      </c>
      <c r="K226" s="7" t="s">
        <v>72</v>
      </c>
      <c r="L226" s="65"/>
      <c r="P226" s="70"/>
      <c r="Q226" s="15"/>
    </row>
    <row r="227" spans="1:17" ht="15">
      <c r="A227" s="27"/>
      <c r="B227" s="6" t="s">
        <v>457</v>
      </c>
      <c r="C227" s="2"/>
      <c r="D227" s="49">
        <v>4319</v>
      </c>
      <c r="E227" s="7" t="s">
        <v>72</v>
      </c>
      <c r="F227" s="41"/>
      <c r="G227" s="49">
        <v>4090</v>
      </c>
      <c r="H227" s="7" t="s">
        <v>72</v>
      </c>
      <c r="I227" s="41"/>
      <c r="J227" s="49">
        <v>4090</v>
      </c>
      <c r="K227" s="7" t="s">
        <v>72</v>
      </c>
      <c r="L227" s="65"/>
      <c r="P227" s="70"/>
      <c r="Q227" s="15"/>
    </row>
    <row r="228" spans="1:17" ht="15">
      <c r="A228" s="27"/>
      <c r="B228" s="6" t="s">
        <v>193</v>
      </c>
      <c r="C228" s="2"/>
      <c r="D228" s="49">
        <v>3766</v>
      </c>
      <c r="E228" s="7" t="s">
        <v>72</v>
      </c>
      <c r="F228" s="41"/>
      <c r="G228" s="49">
        <v>3566</v>
      </c>
      <c r="H228" s="7" t="s">
        <v>72</v>
      </c>
      <c r="I228" s="41"/>
      <c r="J228" s="49">
        <v>3566</v>
      </c>
      <c r="K228" s="7" t="s">
        <v>72</v>
      </c>
      <c r="L228" s="65"/>
      <c r="P228" s="70"/>
      <c r="Q228" s="15"/>
    </row>
    <row r="229" spans="1:17" ht="15">
      <c r="A229" s="27"/>
      <c r="B229" s="6" t="s">
        <v>196</v>
      </c>
      <c r="C229" s="2"/>
      <c r="D229" s="49">
        <v>4119</v>
      </c>
      <c r="E229" s="7" t="s">
        <v>72</v>
      </c>
      <c r="F229" s="41"/>
      <c r="G229" s="49">
        <v>3901</v>
      </c>
      <c r="H229" s="7" t="s">
        <v>72</v>
      </c>
      <c r="I229" s="41"/>
      <c r="J229" s="49">
        <v>3901</v>
      </c>
      <c r="K229" s="7" t="s">
        <v>72</v>
      </c>
      <c r="L229" s="65"/>
      <c r="P229" s="70"/>
      <c r="Q229" s="15"/>
    </row>
    <row r="230" spans="1:17" ht="15">
      <c r="A230" s="27"/>
      <c r="B230" s="5" t="s">
        <v>194</v>
      </c>
      <c r="C230" s="2"/>
      <c r="D230" s="90"/>
      <c r="E230" s="90"/>
      <c r="F230" s="33"/>
      <c r="G230" s="90"/>
      <c r="H230" s="90"/>
      <c r="I230" s="34"/>
      <c r="J230" s="90"/>
      <c r="K230" s="90"/>
      <c r="L230" s="62"/>
      <c r="P230" s="86"/>
      <c r="Q230" s="86"/>
    </row>
    <row r="231" spans="1:17" ht="15">
      <c r="A231" s="27"/>
      <c r="B231" s="6" t="s">
        <v>195</v>
      </c>
      <c r="C231" s="2"/>
      <c r="D231" s="49">
        <v>5392.36</v>
      </c>
      <c r="E231" s="7" t="s">
        <v>72</v>
      </c>
      <c r="F231" s="41"/>
      <c r="G231" s="49">
        <v>5106.04</v>
      </c>
      <c r="H231" s="7" t="s">
        <v>72</v>
      </c>
      <c r="I231" s="41"/>
      <c r="J231" s="49">
        <v>5106.04</v>
      </c>
      <c r="K231" s="7" t="s">
        <v>72</v>
      </c>
      <c r="L231" s="65"/>
      <c r="P231" s="70"/>
      <c r="Q231" s="15"/>
    </row>
    <row r="232" spans="1:17" ht="15">
      <c r="A232" s="27"/>
      <c r="B232" s="5" t="s">
        <v>197</v>
      </c>
      <c r="C232" s="2"/>
      <c r="D232" s="90"/>
      <c r="E232" s="90"/>
      <c r="F232" s="33"/>
      <c r="G232" s="90"/>
      <c r="H232" s="90"/>
      <c r="I232" s="34"/>
      <c r="J232" s="90"/>
      <c r="K232" s="90"/>
      <c r="L232" s="62"/>
      <c r="P232" s="86"/>
      <c r="Q232" s="86"/>
    </row>
    <row r="233" spans="1:17" ht="15">
      <c r="A233" s="27"/>
      <c r="B233" s="8" t="s">
        <v>198</v>
      </c>
      <c r="C233" s="2"/>
      <c r="D233" s="91"/>
      <c r="E233" s="91"/>
      <c r="F233" s="33"/>
      <c r="G233" s="91"/>
      <c r="H233" s="91"/>
      <c r="I233" s="34"/>
      <c r="J233" s="91"/>
      <c r="K233" s="91"/>
      <c r="L233" s="62"/>
      <c r="P233" s="86"/>
      <c r="Q233" s="86"/>
    </row>
    <row r="234" spans="1:17" ht="15">
      <c r="A234" s="27"/>
      <c r="B234" s="6" t="s">
        <v>199</v>
      </c>
      <c r="C234" s="2"/>
      <c r="D234" s="49">
        <v>1922.13</v>
      </c>
      <c r="E234" s="7" t="s">
        <v>72</v>
      </c>
      <c r="F234" s="41"/>
      <c r="G234" s="49">
        <v>2092.23</v>
      </c>
      <c r="H234" s="7" t="s">
        <v>72</v>
      </c>
      <c r="I234" s="41"/>
      <c r="J234" s="49">
        <v>2363.96</v>
      </c>
      <c r="K234" s="7" t="s">
        <v>72</v>
      </c>
      <c r="L234" s="65"/>
      <c r="P234" s="70"/>
      <c r="Q234" s="15"/>
    </row>
    <row r="235" spans="1:17" ht="15">
      <c r="A235" s="27"/>
      <c r="B235" s="6" t="s">
        <v>200</v>
      </c>
      <c r="C235" s="2"/>
      <c r="D235" s="49">
        <v>2867.94</v>
      </c>
      <c r="E235" s="7" t="s">
        <v>72</v>
      </c>
      <c r="F235" s="41"/>
      <c r="G235" s="49">
        <v>3121.74</v>
      </c>
      <c r="H235" s="7" t="s">
        <v>72</v>
      </c>
      <c r="I235" s="41"/>
      <c r="J235" s="49">
        <v>3248.64</v>
      </c>
      <c r="K235" s="7" t="s">
        <v>72</v>
      </c>
      <c r="L235" s="65"/>
      <c r="P235" s="70"/>
      <c r="Q235" s="15"/>
    </row>
    <row r="236" spans="1:17" ht="15">
      <c r="A236" s="27"/>
      <c r="B236" s="8" t="s">
        <v>201</v>
      </c>
      <c r="C236" s="2"/>
      <c r="D236" s="91"/>
      <c r="E236" s="91"/>
      <c r="F236" s="33"/>
      <c r="G236" s="91"/>
      <c r="H236" s="91"/>
      <c r="I236" s="34"/>
      <c r="J236" s="91"/>
      <c r="K236" s="91"/>
      <c r="L236" s="62"/>
      <c r="P236" s="86"/>
      <c r="Q236" s="86"/>
    </row>
    <row r="237" spans="1:17" ht="15">
      <c r="A237" s="27"/>
      <c r="B237" s="6" t="s">
        <v>202</v>
      </c>
      <c r="C237" s="2"/>
      <c r="D237" s="47">
        <f>34.81*$M$3</f>
        <v>1451.15928</v>
      </c>
      <c r="E237" s="7" t="s">
        <v>72</v>
      </c>
      <c r="F237" s="41"/>
      <c r="G237" s="47">
        <f>37.89*$M$3</f>
        <v>1579.55832</v>
      </c>
      <c r="H237" s="7" t="s">
        <v>72</v>
      </c>
      <c r="I237" s="41"/>
      <c r="J237" s="47">
        <f>38.5*$M$3</f>
        <v>1604.988</v>
      </c>
      <c r="K237" s="7" t="s">
        <v>72</v>
      </c>
      <c r="L237" s="65"/>
      <c r="P237" s="70"/>
      <c r="Q237" s="15"/>
    </row>
    <row r="238" spans="1:17" ht="15">
      <c r="A238" s="27"/>
      <c r="B238" s="6" t="s">
        <v>203</v>
      </c>
      <c r="C238" s="2"/>
      <c r="D238" s="47">
        <f>34.81*$M$3</f>
        <v>1451.15928</v>
      </c>
      <c r="E238" s="7" t="s">
        <v>72</v>
      </c>
      <c r="F238" s="41"/>
      <c r="G238" s="47">
        <f>37.89*$M$3</f>
        <v>1579.55832</v>
      </c>
      <c r="H238" s="7" t="s">
        <v>72</v>
      </c>
      <c r="I238" s="41"/>
      <c r="J238" s="47">
        <f>38.5*$M$3</f>
        <v>1604.988</v>
      </c>
      <c r="K238" s="7" t="s">
        <v>72</v>
      </c>
      <c r="L238" s="65"/>
      <c r="P238" s="70"/>
      <c r="Q238" s="15"/>
    </row>
    <row r="239" spans="1:17" ht="15">
      <c r="A239" s="27"/>
      <c r="B239" s="6" t="s">
        <v>204</v>
      </c>
      <c r="C239" s="2"/>
      <c r="D239" s="47">
        <f>52.96*$M$3</f>
        <v>2207.79648</v>
      </c>
      <c r="E239" s="7" t="s">
        <v>72</v>
      </c>
      <c r="F239" s="41"/>
      <c r="G239" s="47">
        <f>57.64*$M$3</f>
        <v>2402.8963200000003</v>
      </c>
      <c r="H239" s="7" t="s">
        <v>72</v>
      </c>
      <c r="I239" s="41"/>
      <c r="J239" s="47">
        <f>58.58*$M$3</f>
        <v>2442.08304</v>
      </c>
      <c r="K239" s="7" t="s">
        <v>72</v>
      </c>
      <c r="L239" s="65"/>
      <c r="P239" s="70"/>
      <c r="Q239" s="15"/>
    </row>
    <row r="240" spans="1:17" ht="15">
      <c r="A240" s="27"/>
      <c r="B240" s="6" t="s">
        <v>205</v>
      </c>
      <c r="C240" s="2"/>
      <c r="D240" s="47">
        <f>48.84*$M$3</f>
        <v>2036.0419200000003</v>
      </c>
      <c r="E240" s="7" t="s">
        <v>72</v>
      </c>
      <c r="F240" s="41"/>
      <c r="G240" s="47">
        <f>53.17*$M$3</f>
        <v>2216.55096</v>
      </c>
      <c r="H240" s="7" t="s">
        <v>72</v>
      </c>
      <c r="I240" s="41"/>
      <c r="J240" s="47">
        <f>54.03*$M$3</f>
        <v>2252.4026400000002</v>
      </c>
      <c r="K240" s="7" t="s">
        <v>72</v>
      </c>
      <c r="L240" s="65"/>
      <c r="P240" s="70"/>
      <c r="Q240" s="15"/>
    </row>
    <row r="241" spans="1:17" ht="15">
      <c r="A241" s="27"/>
      <c r="B241" s="8" t="s">
        <v>206</v>
      </c>
      <c r="C241" s="2"/>
      <c r="D241" s="91"/>
      <c r="E241" s="91"/>
      <c r="F241" s="33"/>
      <c r="G241" s="91"/>
      <c r="H241" s="91"/>
      <c r="I241" s="34"/>
      <c r="J241" s="91"/>
      <c r="K241" s="91"/>
      <c r="L241" s="62"/>
      <c r="P241" s="86"/>
      <c r="Q241" s="86"/>
    </row>
    <row r="242" spans="1:17" ht="15">
      <c r="A242" s="27"/>
      <c r="B242" s="6" t="s">
        <v>207</v>
      </c>
      <c r="C242" s="2"/>
      <c r="D242" s="49">
        <v>2034</v>
      </c>
      <c r="E242" s="7" t="s">
        <v>72</v>
      </c>
      <c r="F242" s="41"/>
      <c r="G242" s="49">
        <v>2214</v>
      </c>
      <c r="H242" s="7" t="s">
        <v>72</v>
      </c>
      <c r="I242" s="41"/>
      <c r="J242" s="49">
        <v>2268</v>
      </c>
      <c r="K242" s="7" t="s">
        <v>72</v>
      </c>
      <c r="L242" s="65"/>
      <c r="P242" s="70"/>
      <c r="Q242" s="15"/>
    </row>
    <row r="243" spans="1:17" ht="15">
      <c r="A243" s="27"/>
      <c r="B243" s="6" t="s">
        <v>208</v>
      </c>
      <c r="C243" s="2"/>
      <c r="D243" s="49">
        <v>2867.94</v>
      </c>
      <c r="E243" s="7" t="s">
        <v>72</v>
      </c>
      <c r="F243" s="41"/>
      <c r="G243" s="49">
        <v>3121</v>
      </c>
      <c r="H243" s="7" t="s">
        <v>72</v>
      </c>
      <c r="I243" s="41"/>
      <c r="J243" s="49">
        <v>3197.88</v>
      </c>
      <c r="K243" s="7" t="s">
        <v>72</v>
      </c>
      <c r="L243" s="65"/>
      <c r="P243" s="70"/>
      <c r="Q243" s="15"/>
    </row>
    <row r="244" spans="1:17" ht="15">
      <c r="A244" s="27"/>
      <c r="B244" s="6" t="s">
        <v>209</v>
      </c>
      <c r="C244" s="2"/>
      <c r="D244" s="49">
        <v>4068</v>
      </c>
      <c r="E244" s="7" t="s">
        <v>72</v>
      </c>
      <c r="F244" s="41"/>
      <c r="G244" s="49">
        <v>4428</v>
      </c>
      <c r="H244" s="7" t="s">
        <v>72</v>
      </c>
      <c r="I244" s="41"/>
      <c r="J244" s="49">
        <v>4536</v>
      </c>
      <c r="K244" s="7" t="s">
        <v>72</v>
      </c>
      <c r="L244" s="65"/>
      <c r="P244" s="70"/>
      <c r="Q244" s="15"/>
    </row>
    <row r="245" spans="1:17" ht="15">
      <c r="A245" s="27"/>
      <c r="B245" s="8" t="s">
        <v>210</v>
      </c>
      <c r="C245" s="2"/>
      <c r="D245" s="91"/>
      <c r="E245" s="91"/>
      <c r="F245" s="33"/>
      <c r="G245" s="91"/>
      <c r="H245" s="91"/>
      <c r="I245" s="34"/>
      <c r="J245" s="91"/>
      <c r="K245" s="91"/>
      <c r="L245" s="62"/>
      <c r="P245" s="86"/>
      <c r="Q245" s="86"/>
    </row>
    <row r="246" spans="1:17" ht="15">
      <c r="A246" s="27"/>
      <c r="B246" s="6" t="s">
        <v>458</v>
      </c>
      <c r="C246" s="2"/>
      <c r="D246" s="49">
        <v>3051</v>
      </c>
      <c r="E246" s="7" t="s">
        <v>72</v>
      </c>
      <c r="F246" s="41"/>
      <c r="G246" s="49">
        <v>3321</v>
      </c>
      <c r="H246" s="7" t="s">
        <v>72</v>
      </c>
      <c r="I246" s="41"/>
      <c r="J246" s="49">
        <v>3402</v>
      </c>
      <c r="K246" s="7" t="s">
        <v>72</v>
      </c>
      <c r="L246" s="65"/>
      <c r="P246" s="70"/>
      <c r="Q246" s="15"/>
    </row>
    <row r="247" spans="1:17" ht="15">
      <c r="A247" s="27"/>
      <c r="B247" s="8" t="s">
        <v>211</v>
      </c>
      <c r="C247" s="2"/>
      <c r="D247" s="91"/>
      <c r="E247" s="91"/>
      <c r="F247" s="33"/>
      <c r="G247" s="91"/>
      <c r="H247" s="91"/>
      <c r="I247" s="34"/>
      <c r="J247" s="91"/>
      <c r="K247" s="91"/>
      <c r="L247" s="62"/>
      <c r="P247" s="86"/>
      <c r="Q247" s="86"/>
    </row>
    <row r="248" spans="1:17" ht="25.5">
      <c r="A248" s="27"/>
      <c r="B248" s="6" t="s">
        <v>212</v>
      </c>
      <c r="C248" s="2"/>
      <c r="D248" s="49">
        <v>1071.6</v>
      </c>
      <c r="E248" s="7" t="s">
        <v>72</v>
      </c>
      <c r="F248" s="41"/>
      <c r="G248" s="49">
        <v>1160.9</v>
      </c>
      <c r="H248" s="7" t="s">
        <v>72</v>
      </c>
      <c r="I248" s="41"/>
      <c r="J248" s="49">
        <v>1250.2</v>
      </c>
      <c r="K248" s="7" t="s">
        <v>72</v>
      </c>
      <c r="L248" s="65"/>
      <c r="P248" s="70"/>
      <c r="Q248" s="15"/>
    </row>
    <row r="249" spans="1:17" ht="25.5">
      <c r="A249" s="27"/>
      <c r="B249" s="6" t="s">
        <v>213</v>
      </c>
      <c r="C249" s="2"/>
      <c r="D249" s="47">
        <f>39.1*$M$3</f>
        <v>1630.0008000000003</v>
      </c>
      <c r="E249" s="7" t="s">
        <v>72</v>
      </c>
      <c r="F249" s="41"/>
      <c r="G249" s="47">
        <f>42.66*$M$3</f>
        <v>1778.4100799999999</v>
      </c>
      <c r="H249" s="7" t="s">
        <v>72</v>
      </c>
      <c r="I249" s="41"/>
      <c r="J249" s="47">
        <f>45.78*$M$3</f>
        <v>1908.47664</v>
      </c>
      <c r="K249" s="7" t="s">
        <v>72</v>
      </c>
      <c r="L249" s="65"/>
      <c r="P249" s="70"/>
      <c r="Q249" s="15"/>
    </row>
    <row r="250" spans="1:17" ht="15">
      <c r="A250" s="27"/>
      <c r="B250" s="5" t="s">
        <v>214</v>
      </c>
      <c r="C250" s="2"/>
      <c r="D250" s="90"/>
      <c r="E250" s="90"/>
      <c r="F250" s="33"/>
      <c r="G250" s="90"/>
      <c r="H250" s="90"/>
      <c r="I250" s="34"/>
      <c r="J250" s="90"/>
      <c r="K250" s="90"/>
      <c r="L250" s="62"/>
      <c r="P250" s="86"/>
      <c r="Q250" s="86"/>
    </row>
    <row r="251" spans="1:17" ht="15">
      <c r="A251" s="27"/>
      <c r="B251" s="6" t="s">
        <v>215</v>
      </c>
      <c r="C251" s="2"/>
      <c r="D251" s="47">
        <f>69*$M$3</f>
        <v>2876.472</v>
      </c>
      <c r="E251" s="7" t="s">
        <v>72</v>
      </c>
      <c r="F251" s="41"/>
      <c r="G251" s="47">
        <f>75.11*$M$3</f>
        <v>3131.18568</v>
      </c>
      <c r="H251" s="7" t="s">
        <v>72</v>
      </c>
      <c r="I251" s="41"/>
      <c r="J251" s="47">
        <f>78.16*$M$3</f>
        <v>3258.33408</v>
      </c>
      <c r="K251" s="7" t="s">
        <v>72</v>
      </c>
      <c r="L251" s="65"/>
      <c r="P251" s="70"/>
      <c r="Q251" s="15"/>
    </row>
    <row r="252" spans="1:17" ht="15">
      <c r="A252" s="27"/>
      <c r="B252" s="6" t="s">
        <v>216</v>
      </c>
      <c r="C252" s="2"/>
      <c r="D252" s="47">
        <f>67.13*$M$3</f>
        <v>2798.51544</v>
      </c>
      <c r="E252" s="7" t="s">
        <v>72</v>
      </c>
      <c r="F252" s="41"/>
      <c r="G252" s="47">
        <f>73.07*$M$3</f>
        <v>3046.14216</v>
      </c>
      <c r="H252" s="7" t="s">
        <v>72</v>
      </c>
      <c r="I252" s="41"/>
      <c r="J252" s="47">
        <f>76.03*$M$3</f>
        <v>3169.53864</v>
      </c>
      <c r="K252" s="7" t="s">
        <v>72</v>
      </c>
      <c r="L252" s="65"/>
      <c r="P252" s="70"/>
      <c r="Q252" s="15"/>
    </row>
    <row r="253" spans="1:17" ht="15">
      <c r="A253" s="27"/>
      <c r="B253" s="6" t="s">
        <v>217</v>
      </c>
      <c r="C253" s="2"/>
      <c r="D253" s="47">
        <f>94.63*$M$3</f>
        <v>3944.93544</v>
      </c>
      <c r="E253" s="7" t="s">
        <v>72</v>
      </c>
      <c r="F253" s="41"/>
      <c r="G253" s="47">
        <f>103.01*$M$3</f>
        <v>4294.28088</v>
      </c>
      <c r="H253" s="7" t="s">
        <v>72</v>
      </c>
      <c r="I253" s="41"/>
      <c r="J253" s="47">
        <f>107.19*$M$3</f>
        <v>4468.53672</v>
      </c>
      <c r="K253" s="7" t="s">
        <v>72</v>
      </c>
      <c r="L253" s="65"/>
      <c r="P253" s="70"/>
      <c r="Q253" s="15"/>
    </row>
    <row r="254" spans="1:17" ht="15">
      <c r="A254" s="27"/>
      <c r="B254" s="6" t="s">
        <v>218</v>
      </c>
      <c r="C254" s="2"/>
      <c r="D254" s="47">
        <f>128.59*$M$3</f>
        <v>5360.65992</v>
      </c>
      <c r="E254" s="7" t="s">
        <v>72</v>
      </c>
      <c r="F254" s="41"/>
      <c r="G254" s="47">
        <f>139.97*$M$3</f>
        <v>5835.06936</v>
      </c>
      <c r="H254" s="7" t="s">
        <v>72</v>
      </c>
      <c r="I254" s="41"/>
      <c r="J254" s="47">
        <f>145.65*$M$3</f>
        <v>6071.8572</v>
      </c>
      <c r="K254" s="7" t="s">
        <v>72</v>
      </c>
      <c r="L254" s="65"/>
      <c r="P254" s="70"/>
      <c r="Q254" s="15"/>
    </row>
    <row r="255" spans="1:17" ht="15">
      <c r="A255" s="27"/>
      <c r="B255" s="6" t="s">
        <v>219</v>
      </c>
      <c r="C255" s="2"/>
      <c r="D255" s="47">
        <f>191.4*$M$3</f>
        <v>7979.083200000001</v>
      </c>
      <c r="E255" s="7" t="s">
        <v>72</v>
      </c>
      <c r="F255" s="41"/>
      <c r="G255" s="47">
        <f>208.34*$M$3</f>
        <v>8685.27792</v>
      </c>
      <c r="H255" s="7" t="s">
        <v>72</v>
      </c>
      <c r="I255" s="41"/>
      <c r="J255" s="47">
        <f>216.81*$M$3</f>
        <v>9038.37528</v>
      </c>
      <c r="K255" s="7" t="s">
        <v>72</v>
      </c>
      <c r="L255" s="65"/>
      <c r="P255" s="70"/>
      <c r="Q255" s="15"/>
    </row>
    <row r="256" spans="1:17" ht="15">
      <c r="A256" s="27"/>
      <c r="B256" s="6" t="s">
        <v>220</v>
      </c>
      <c r="C256" s="2"/>
      <c r="D256" s="47">
        <f>254.39*$M$3</f>
        <v>10605.01032</v>
      </c>
      <c r="E256" s="7" t="s">
        <v>72</v>
      </c>
      <c r="F256" s="41"/>
      <c r="G256" s="47">
        <f>276.9*$M$3</f>
        <v>11543.4072</v>
      </c>
      <c r="H256" s="7" t="s">
        <v>72</v>
      </c>
      <c r="I256" s="41"/>
      <c r="J256" s="47">
        <f>288.15*$M$3</f>
        <v>12012.3972</v>
      </c>
      <c r="K256" s="7" t="s">
        <v>72</v>
      </c>
      <c r="L256" s="65"/>
      <c r="P256" s="70"/>
      <c r="Q256" s="15"/>
    </row>
    <row r="257" spans="1:17" ht="15">
      <c r="A257" s="27"/>
      <c r="B257" s="6" t="s">
        <v>221</v>
      </c>
      <c r="C257" s="2"/>
      <c r="D257" s="47">
        <f>319.99*$M$3</f>
        <v>13339.743120000001</v>
      </c>
      <c r="E257" s="7" t="s">
        <v>72</v>
      </c>
      <c r="F257" s="41"/>
      <c r="G257" s="47">
        <f>348.3*$M$3</f>
        <v>14519.930400000001</v>
      </c>
      <c r="H257" s="7" t="s">
        <v>72</v>
      </c>
      <c r="I257" s="41"/>
      <c r="J257" s="47">
        <f>362.46*$M$3</f>
        <v>15110.23248</v>
      </c>
      <c r="K257" s="7" t="s">
        <v>72</v>
      </c>
      <c r="L257" s="65"/>
      <c r="P257" s="70"/>
      <c r="Q257" s="15"/>
    </row>
    <row r="258" spans="1:17" ht="15">
      <c r="A258" s="27"/>
      <c r="B258" s="6" t="s">
        <v>222</v>
      </c>
      <c r="C258" s="2"/>
      <c r="D258" s="47">
        <f>501.72*$M$3</f>
        <v>20915.703360000003</v>
      </c>
      <c r="E258" s="7" t="s">
        <v>72</v>
      </c>
      <c r="F258" s="41"/>
      <c r="G258" s="47">
        <f>546.12*$M$3</f>
        <v>22766.650560000002</v>
      </c>
      <c r="H258" s="7" t="s">
        <v>72</v>
      </c>
      <c r="I258" s="41"/>
      <c r="J258" s="47">
        <f>568.32*$M$3</f>
        <v>23692.124160000003</v>
      </c>
      <c r="K258" s="7" t="s">
        <v>72</v>
      </c>
      <c r="L258" s="65"/>
      <c r="P258" s="70"/>
      <c r="Q258" s="15"/>
    </row>
    <row r="259" spans="1:17" ht="15">
      <c r="A259" s="27"/>
      <c r="B259" s="5" t="s">
        <v>223</v>
      </c>
      <c r="C259" s="2"/>
      <c r="D259" s="90"/>
      <c r="E259" s="90"/>
      <c r="F259" s="33"/>
      <c r="G259" s="90"/>
      <c r="H259" s="90"/>
      <c r="I259" s="34"/>
      <c r="J259" s="90"/>
      <c r="K259" s="90"/>
      <c r="L259" s="62"/>
      <c r="P259" s="86"/>
      <c r="Q259" s="86"/>
    </row>
    <row r="260" spans="1:17" ht="15">
      <c r="A260" s="27"/>
      <c r="B260" s="6" t="s">
        <v>224</v>
      </c>
      <c r="C260" s="2"/>
      <c r="D260" s="47">
        <f>6.49*$M$3</f>
        <v>270.55512000000004</v>
      </c>
      <c r="E260" s="7" t="s">
        <v>72</v>
      </c>
      <c r="F260" s="41"/>
      <c r="G260" s="47">
        <f>7.07*$M$3</f>
        <v>294.73416000000003</v>
      </c>
      <c r="H260" s="7" t="s">
        <v>72</v>
      </c>
      <c r="I260" s="41"/>
      <c r="J260" s="47">
        <f>7.63*$M$3</f>
        <v>318.07944000000003</v>
      </c>
      <c r="K260" s="7" t="s">
        <v>72</v>
      </c>
      <c r="L260" s="65"/>
      <c r="P260" s="70"/>
      <c r="Q260" s="15"/>
    </row>
    <row r="261" spans="1:17" ht="15">
      <c r="A261" s="27"/>
      <c r="B261" s="6" t="s">
        <v>225</v>
      </c>
      <c r="C261" s="2"/>
      <c r="D261" s="47">
        <f>7.8*$M$3</f>
        <v>325.1664</v>
      </c>
      <c r="E261" s="7" t="s">
        <v>72</v>
      </c>
      <c r="F261" s="41"/>
      <c r="G261" s="47">
        <f>8.49*$M$3</f>
        <v>353.93112</v>
      </c>
      <c r="H261" s="7" t="s">
        <v>72</v>
      </c>
      <c r="I261" s="41"/>
      <c r="J261" s="47">
        <f>9.18*$M$3</f>
        <v>382.69584000000003</v>
      </c>
      <c r="K261" s="7" t="s">
        <v>72</v>
      </c>
      <c r="L261" s="65"/>
      <c r="P261" s="70"/>
      <c r="Q261" s="15"/>
    </row>
    <row r="262" spans="1:17" ht="15">
      <c r="A262" s="27"/>
      <c r="B262" s="6" t="s">
        <v>226</v>
      </c>
      <c r="C262" s="2"/>
      <c r="D262" s="47">
        <f>23.41*$M$3</f>
        <v>975.9160800000001</v>
      </c>
      <c r="E262" s="7" t="s">
        <v>72</v>
      </c>
      <c r="F262" s="41"/>
      <c r="G262" s="47">
        <f>25.48*$M$3</f>
        <v>1062.21024</v>
      </c>
      <c r="H262" s="7" t="s">
        <v>72</v>
      </c>
      <c r="I262" s="41"/>
      <c r="J262" s="47">
        <f>27.54*$M$3</f>
        <v>1148.08752</v>
      </c>
      <c r="K262" s="7" t="s">
        <v>72</v>
      </c>
      <c r="L262" s="65"/>
      <c r="P262" s="70"/>
      <c r="Q262" s="15"/>
    </row>
    <row r="263" spans="1:17" ht="15">
      <c r="A263" s="27"/>
      <c r="B263" s="6" t="s">
        <v>227</v>
      </c>
      <c r="C263" s="2"/>
      <c r="D263" s="47">
        <f>13.01*$M$3</f>
        <v>542.3608800000001</v>
      </c>
      <c r="E263" s="7" t="s">
        <v>72</v>
      </c>
      <c r="F263" s="41"/>
      <c r="G263" s="47">
        <f>14.16*$M$3</f>
        <v>590.30208</v>
      </c>
      <c r="H263" s="7" t="s">
        <v>72</v>
      </c>
      <c r="I263" s="41"/>
      <c r="J263" s="47">
        <f>15.31*$M$3</f>
        <v>638.24328</v>
      </c>
      <c r="K263" s="7" t="s">
        <v>72</v>
      </c>
      <c r="L263" s="65"/>
      <c r="P263" s="70"/>
      <c r="Q263" s="15"/>
    </row>
    <row r="264" spans="1:17" ht="15">
      <c r="A264" s="27"/>
      <c r="B264" s="6" t="s">
        <v>228</v>
      </c>
      <c r="C264" s="2"/>
      <c r="D264" s="47">
        <f>39.01*$M$3</f>
        <v>1626.24888</v>
      </c>
      <c r="E264" s="7" t="s">
        <v>72</v>
      </c>
      <c r="F264" s="41"/>
      <c r="G264" s="47">
        <f>42.46*$M$3</f>
        <v>1770.07248</v>
      </c>
      <c r="H264" s="7" t="s">
        <v>72</v>
      </c>
      <c r="I264" s="41"/>
      <c r="J264" s="47">
        <f>45.91*$M$3</f>
        <v>1913.89608</v>
      </c>
      <c r="K264" s="7" t="s">
        <v>72</v>
      </c>
      <c r="L264" s="65"/>
      <c r="P264" s="70"/>
      <c r="Q264" s="15"/>
    </row>
    <row r="265" spans="1:17" ht="15">
      <c r="A265" s="27"/>
      <c r="B265" s="3" t="s">
        <v>229</v>
      </c>
      <c r="C265" s="4"/>
      <c r="D265" s="94"/>
      <c r="E265" s="94"/>
      <c r="F265" s="55"/>
      <c r="G265" s="92"/>
      <c r="H265" s="92"/>
      <c r="I265" s="55"/>
      <c r="J265" s="92"/>
      <c r="K265" s="92"/>
      <c r="L265" s="62"/>
      <c r="P265" s="86"/>
      <c r="Q265" s="86"/>
    </row>
    <row r="266" spans="1:17" ht="15">
      <c r="A266" s="27"/>
      <c r="B266" s="5" t="s">
        <v>230</v>
      </c>
      <c r="C266" s="2"/>
      <c r="D266" s="90"/>
      <c r="E266" s="90"/>
      <c r="F266" s="33"/>
      <c r="G266" s="90"/>
      <c r="H266" s="90"/>
      <c r="I266" s="34"/>
      <c r="J266" s="90"/>
      <c r="K266" s="90"/>
      <c r="L266" s="62"/>
      <c r="P266" s="86"/>
      <c r="Q266" s="86"/>
    </row>
    <row r="267" spans="1:17" ht="15">
      <c r="A267" s="27"/>
      <c r="B267" s="8" t="s">
        <v>231</v>
      </c>
      <c r="C267" s="2"/>
      <c r="D267" s="91"/>
      <c r="E267" s="91"/>
      <c r="F267" s="33"/>
      <c r="G267" s="91"/>
      <c r="H267" s="91"/>
      <c r="I267" s="34"/>
      <c r="J267" s="91"/>
      <c r="K267" s="91"/>
      <c r="L267" s="62"/>
      <c r="P267" s="86"/>
      <c r="Q267" s="86"/>
    </row>
    <row r="268" spans="1:17" ht="15">
      <c r="A268" s="27"/>
      <c r="B268" s="6" t="s">
        <v>444</v>
      </c>
      <c r="C268" s="2"/>
      <c r="D268" s="49">
        <v>293.82</v>
      </c>
      <c r="E268" s="7" t="s">
        <v>6</v>
      </c>
      <c r="F268" s="41"/>
      <c r="G268" s="49">
        <v>319.82</v>
      </c>
      <c r="H268" s="7" t="s">
        <v>6</v>
      </c>
      <c r="I268" s="41"/>
      <c r="J268" s="49">
        <v>345.82</v>
      </c>
      <c r="K268" s="7" t="s">
        <v>6</v>
      </c>
      <c r="L268" s="65"/>
      <c r="P268" s="70"/>
      <c r="Q268" s="15"/>
    </row>
    <row r="269" spans="1:17" ht="15">
      <c r="A269" s="27"/>
      <c r="B269" s="6" t="s">
        <v>445</v>
      </c>
      <c r="C269" s="2"/>
      <c r="D269" s="49">
        <v>166.11</v>
      </c>
      <c r="E269" s="7" t="s">
        <v>6</v>
      </c>
      <c r="F269" s="41"/>
      <c r="G269" s="49">
        <v>180.81</v>
      </c>
      <c r="H269" s="7" t="s">
        <v>6</v>
      </c>
      <c r="I269" s="41"/>
      <c r="J269" s="49">
        <v>195.51</v>
      </c>
      <c r="K269" s="7" t="s">
        <v>6</v>
      </c>
      <c r="L269" s="65"/>
      <c r="P269" s="70"/>
      <c r="Q269" s="15"/>
    </row>
    <row r="270" spans="1:17" ht="15">
      <c r="A270" s="27"/>
      <c r="B270" s="6" t="s">
        <v>446</v>
      </c>
      <c r="C270" s="2"/>
      <c r="D270" s="49">
        <v>332.22</v>
      </c>
      <c r="E270" s="7" t="s">
        <v>6</v>
      </c>
      <c r="F270" s="41"/>
      <c r="G270" s="49">
        <v>361.62</v>
      </c>
      <c r="H270" s="7" t="s">
        <v>6</v>
      </c>
      <c r="I270" s="41"/>
      <c r="J270" s="49">
        <v>391.02</v>
      </c>
      <c r="K270" s="7" t="s">
        <v>6</v>
      </c>
      <c r="L270" s="65"/>
      <c r="P270" s="70"/>
      <c r="Q270" s="15"/>
    </row>
    <row r="271" spans="1:17" ht="15">
      <c r="A271" s="27"/>
      <c r="B271" s="6" t="s">
        <v>447</v>
      </c>
      <c r="C271" s="2"/>
      <c r="D271" s="49">
        <v>179.67</v>
      </c>
      <c r="E271" s="7" t="s">
        <v>6</v>
      </c>
      <c r="F271" s="41"/>
      <c r="G271" s="49">
        <v>195.57</v>
      </c>
      <c r="H271" s="7" t="s">
        <v>6</v>
      </c>
      <c r="I271" s="41"/>
      <c r="J271" s="49">
        <v>211.47</v>
      </c>
      <c r="K271" s="7" t="s">
        <v>6</v>
      </c>
      <c r="L271" s="65"/>
      <c r="P271" s="70"/>
      <c r="Q271" s="15"/>
    </row>
    <row r="272" spans="1:17" ht="15">
      <c r="A272" s="27"/>
      <c r="B272" s="6" t="s">
        <v>448</v>
      </c>
      <c r="C272" s="2"/>
      <c r="D272" s="49">
        <v>233.91</v>
      </c>
      <c r="E272" s="7" t="s">
        <v>6</v>
      </c>
      <c r="F272" s="41"/>
      <c r="G272" s="49">
        <v>254.61</v>
      </c>
      <c r="H272" s="7" t="s">
        <v>6</v>
      </c>
      <c r="I272" s="41"/>
      <c r="J272" s="49">
        <v>275.31</v>
      </c>
      <c r="K272" s="7" t="s">
        <v>6</v>
      </c>
      <c r="L272" s="65"/>
      <c r="P272" s="70"/>
      <c r="Q272" s="15"/>
    </row>
    <row r="273" spans="1:17" ht="15">
      <c r="A273" s="27"/>
      <c r="B273" s="8" t="s">
        <v>232</v>
      </c>
      <c r="C273" s="2"/>
      <c r="D273" s="91"/>
      <c r="E273" s="91"/>
      <c r="F273" s="33"/>
      <c r="G273" s="91"/>
      <c r="H273" s="91"/>
      <c r="I273" s="34"/>
      <c r="J273" s="91"/>
      <c r="K273" s="91"/>
      <c r="L273" s="62"/>
      <c r="P273" s="86"/>
      <c r="Q273" s="86"/>
    </row>
    <row r="274" spans="1:17" ht="15">
      <c r="A274" s="27"/>
      <c r="B274" s="6" t="s">
        <v>449</v>
      </c>
      <c r="C274" s="2"/>
      <c r="D274" s="47">
        <f>9.15*$M$3</f>
        <v>381.44520000000006</v>
      </c>
      <c r="E274" s="7" t="s">
        <v>6</v>
      </c>
      <c r="F274" s="41"/>
      <c r="G274" s="47">
        <f>9.96*$M$3</f>
        <v>415.2124800000001</v>
      </c>
      <c r="H274" s="7" t="s">
        <v>6</v>
      </c>
      <c r="I274" s="41"/>
      <c r="J274" s="47">
        <f>11.74*$M$3</f>
        <v>489.41712</v>
      </c>
      <c r="K274" s="7" t="s">
        <v>6</v>
      </c>
      <c r="L274" s="65"/>
      <c r="P274" s="70"/>
      <c r="Q274" s="15"/>
    </row>
    <row r="275" spans="1:17" ht="15">
      <c r="A275" s="27"/>
      <c r="B275" s="6" t="s">
        <v>450</v>
      </c>
      <c r="C275" s="2"/>
      <c r="D275" s="47">
        <f>9.15*$M$3</f>
        <v>381.44520000000006</v>
      </c>
      <c r="E275" s="7" t="s">
        <v>6</v>
      </c>
      <c r="F275" s="41"/>
      <c r="G275" s="47">
        <f>9.96*$M$3</f>
        <v>415.2124800000001</v>
      </c>
      <c r="H275" s="7" t="s">
        <v>6</v>
      </c>
      <c r="I275" s="41"/>
      <c r="J275" s="47">
        <f>11.74*$M$3</f>
        <v>489.41712</v>
      </c>
      <c r="K275" s="7" t="s">
        <v>6</v>
      </c>
      <c r="L275" s="65"/>
      <c r="P275" s="70"/>
      <c r="Q275" s="15"/>
    </row>
    <row r="276" spans="1:17" ht="15">
      <c r="A276" s="27"/>
      <c r="B276" s="6" t="s">
        <v>451</v>
      </c>
      <c r="C276" s="2"/>
      <c r="D276" s="47">
        <f>9.81*$M$3</f>
        <v>408.95928000000004</v>
      </c>
      <c r="E276" s="7" t="s">
        <v>6</v>
      </c>
      <c r="F276" s="41"/>
      <c r="G276" s="47">
        <f>10.68*$M$3</f>
        <v>445.22784</v>
      </c>
      <c r="H276" s="7" t="s">
        <v>6</v>
      </c>
      <c r="I276" s="41"/>
      <c r="J276" s="47">
        <f>12.59*$M$3</f>
        <v>524.8519200000001</v>
      </c>
      <c r="K276" s="7" t="s">
        <v>6</v>
      </c>
      <c r="L276" s="65"/>
      <c r="P276" s="70"/>
      <c r="Q276" s="15"/>
    </row>
    <row r="277" spans="1:17" ht="15">
      <c r="A277" s="27"/>
      <c r="B277" s="6" t="s">
        <v>452</v>
      </c>
      <c r="C277" s="2"/>
      <c r="D277" s="47">
        <f>9.81*$M$3</f>
        <v>408.95928000000004</v>
      </c>
      <c r="E277" s="7" t="s">
        <v>6</v>
      </c>
      <c r="F277" s="41"/>
      <c r="G277" s="47">
        <f>10.68*$M$3</f>
        <v>445.22784</v>
      </c>
      <c r="H277" s="7" t="s">
        <v>6</v>
      </c>
      <c r="I277" s="41"/>
      <c r="J277" s="47">
        <f>12.59*$M$3</f>
        <v>524.8519200000001</v>
      </c>
      <c r="K277" s="7" t="s">
        <v>6</v>
      </c>
      <c r="L277" s="65"/>
      <c r="P277" s="70"/>
      <c r="Q277" s="15"/>
    </row>
    <row r="278" spans="1:17" ht="15">
      <c r="A278" s="27"/>
      <c r="B278" s="8" t="s">
        <v>230</v>
      </c>
      <c r="C278" s="2"/>
      <c r="D278" s="91"/>
      <c r="E278" s="91"/>
      <c r="F278" s="33"/>
      <c r="G278" s="91"/>
      <c r="H278" s="91"/>
      <c r="I278" s="34"/>
      <c r="J278" s="91"/>
      <c r="K278" s="91"/>
      <c r="L278" s="62"/>
      <c r="P278" s="86"/>
      <c r="Q278" s="86"/>
    </row>
    <row r="279" spans="1:17" ht="15">
      <c r="A279" s="27"/>
      <c r="B279" s="6" t="s">
        <v>233</v>
      </c>
      <c r="C279" s="2"/>
      <c r="D279" s="47">
        <f>0.18*$M$3</f>
        <v>7.50384</v>
      </c>
      <c r="E279" s="7" t="s">
        <v>6</v>
      </c>
      <c r="F279" s="41"/>
      <c r="G279" s="47">
        <f>0.22*$M$3</f>
        <v>9.17136</v>
      </c>
      <c r="H279" s="7" t="s">
        <v>6</v>
      </c>
      <c r="I279" s="41"/>
      <c r="J279" s="47">
        <f>0.24*$M$3</f>
        <v>10.00512</v>
      </c>
      <c r="K279" s="7" t="s">
        <v>6</v>
      </c>
      <c r="L279" s="65"/>
      <c r="P279" s="70"/>
      <c r="Q279" s="15"/>
    </row>
    <row r="280" spans="1:17" ht="15">
      <c r="A280" s="27"/>
      <c r="B280" s="6" t="s">
        <v>234</v>
      </c>
      <c r="C280" s="2"/>
      <c r="D280" s="47">
        <f>0.06*$M$3</f>
        <v>2.50128</v>
      </c>
      <c r="E280" s="7" t="s">
        <v>6</v>
      </c>
      <c r="F280" s="41"/>
      <c r="G280" s="47">
        <f>0.08*$M$3</f>
        <v>3.3350400000000002</v>
      </c>
      <c r="H280" s="7" t="s">
        <v>6</v>
      </c>
      <c r="I280" s="41"/>
      <c r="J280" s="47">
        <f>0.08*$M$3</f>
        <v>3.3350400000000002</v>
      </c>
      <c r="K280" s="7" t="s">
        <v>6</v>
      </c>
      <c r="L280" s="65"/>
      <c r="P280" s="70"/>
      <c r="Q280" s="15"/>
    </row>
    <row r="281" spans="1:17" ht="15">
      <c r="A281" s="27"/>
      <c r="B281" s="6" t="s">
        <v>235</v>
      </c>
      <c r="C281" s="2"/>
      <c r="D281" s="47">
        <f>0.24*$M$3</f>
        <v>10.00512</v>
      </c>
      <c r="E281" s="7" t="s">
        <v>6</v>
      </c>
      <c r="F281" s="41"/>
      <c r="G281" s="47">
        <f>0.29*$M$3</f>
        <v>12.08952</v>
      </c>
      <c r="H281" s="7" t="s">
        <v>6</v>
      </c>
      <c r="I281" s="41"/>
      <c r="J281" s="47">
        <f>0.32*$M$3</f>
        <v>13.340160000000001</v>
      </c>
      <c r="K281" s="7" t="s">
        <v>6</v>
      </c>
      <c r="L281" s="65"/>
      <c r="P281" s="70"/>
      <c r="Q281" s="15"/>
    </row>
    <row r="282" spans="1:17" ht="15">
      <c r="A282" s="27"/>
      <c r="B282" s="5" t="s">
        <v>236</v>
      </c>
      <c r="C282" s="2"/>
      <c r="D282" s="90"/>
      <c r="E282" s="90"/>
      <c r="F282" s="33"/>
      <c r="G282" s="90"/>
      <c r="H282" s="90"/>
      <c r="I282" s="34"/>
      <c r="J282" s="90"/>
      <c r="K282" s="90"/>
      <c r="L282" s="62"/>
      <c r="P282" s="86"/>
      <c r="Q282" s="86"/>
    </row>
    <row r="283" spans="1:17" ht="15">
      <c r="A283" s="27"/>
      <c r="B283" s="8" t="s">
        <v>237</v>
      </c>
      <c r="C283" s="2"/>
      <c r="D283" s="91"/>
      <c r="E283" s="91"/>
      <c r="F283" s="33"/>
      <c r="G283" s="91"/>
      <c r="H283" s="91"/>
      <c r="I283" s="34"/>
      <c r="J283" s="91"/>
      <c r="K283" s="91"/>
      <c r="L283" s="62"/>
      <c r="P283" s="86"/>
      <c r="Q283" s="86"/>
    </row>
    <row r="284" spans="1:17" ht="15">
      <c r="A284" s="27"/>
      <c r="B284" s="6" t="s">
        <v>238</v>
      </c>
      <c r="C284" s="2"/>
      <c r="D284" s="49">
        <v>136.73</v>
      </c>
      <c r="E284" s="7" t="s">
        <v>6</v>
      </c>
      <c r="F284" s="41"/>
      <c r="G284" s="49">
        <v>148.83</v>
      </c>
      <c r="H284" s="7" t="s">
        <v>6</v>
      </c>
      <c r="I284" s="41"/>
      <c r="J284" s="49">
        <v>153.67</v>
      </c>
      <c r="K284" s="7" t="s">
        <v>6</v>
      </c>
      <c r="L284" s="65"/>
      <c r="P284" s="70"/>
      <c r="Q284" s="15"/>
    </row>
    <row r="285" spans="1:17" ht="15">
      <c r="A285" s="27"/>
      <c r="B285" s="6" t="s">
        <v>239</v>
      </c>
      <c r="C285" s="2"/>
      <c r="D285" s="49">
        <v>108.48</v>
      </c>
      <c r="E285" s="7" t="s">
        <v>6</v>
      </c>
      <c r="F285" s="41"/>
      <c r="G285" s="49">
        <v>118.08</v>
      </c>
      <c r="H285" s="7" t="s">
        <v>6</v>
      </c>
      <c r="I285" s="41"/>
      <c r="J285" s="49">
        <v>121.92</v>
      </c>
      <c r="K285" s="7" t="s">
        <v>6</v>
      </c>
      <c r="L285" s="65"/>
      <c r="P285" s="70"/>
      <c r="Q285" s="15"/>
    </row>
    <row r="286" spans="1:17" ht="15">
      <c r="A286" s="27"/>
      <c r="B286" s="8" t="s">
        <v>240</v>
      </c>
      <c r="C286" s="2"/>
      <c r="D286" s="91"/>
      <c r="E286" s="91"/>
      <c r="F286" s="33"/>
      <c r="G286" s="91"/>
      <c r="H286" s="91"/>
      <c r="I286" s="34"/>
      <c r="J286" s="91"/>
      <c r="K286" s="91"/>
      <c r="L286" s="62"/>
      <c r="P286" s="86"/>
      <c r="Q286" s="86"/>
    </row>
    <row r="287" spans="1:17" ht="15">
      <c r="A287" s="27"/>
      <c r="B287" s="6" t="s">
        <v>241</v>
      </c>
      <c r="C287" s="2"/>
      <c r="D287" s="49">
        <v>135.6</v>
      </c>
      <c r="E287" s="7" t="s">
        <v>6</v>
      </c>
      <c r="F287" s="41"/>
      <c r="G287" s="49">
        <v>147.6</v>
      </c>
      <c r="H287" s="7" t="s">
        <v>6</v>
      </c>
      <c r="I287" s="41"/>
      <c r="J287" s="49">
        <v>152.4</v>
      </c>
      <c r="K287" s="7" t="s">
        <v>6</v>
      </c>
      <c r="L287" s="65"/>
      <c r="P287" s="70"/>
      <c r="Q287" s="15"/>
    </row>
    <row r="288" spans="1:17" ht="25.5">
      <c r="A288" s="27"/>
      <c r="B288" s="6" t="s">
        <v>453</v>
      </c>
      <c r="C288" s="2"/>
      <c r="D288" s="49">
        <v>185.32</v>
      </c>
      <c r="E288" s="7" t="s">
        <v>6</v>
      </c>
      <c r="F288" s="41"/>
      <c r="G288" s="49">
        <v>201.72</v>
      </c>
      <c r="H288" s="7" t="s">
        <v>6</v>
      </c>
      <c r="I288" s="41"/>
      <c r="J288" s="49">
        <v>208.28</v>
      </c>
      <c r="K288" s="7" t="s">
        <v>6</v>
      </c>
      <c r="L288" s="65"/>
      <c r="P288" s="70"/>
      <c r="Q288" s="15"/>
    </row>
    <row r="289" spans="1:17" ht="15">
      <c r="A289" s="27"/>
      <c r="B289" s="8" t="s">
        <v>242</v>
      </c>
      <c r="C289" s="2"/>
      <c r="D289" s="91"/>
      <c r="E289" s="91"/>
      <c r="F289" s="33"/>
      <c r="G289" s="91"/>
      <c r="H289" s="91"/>
      <c r="I289" s="34"/>
      <c r="J289" s="91"/>
      <c r="K289" s="91"/>
      <c r="L289" s="62"/>
      <c r="P289" s="86"/>
      <c r="Q289" s="86"/>
    </row>
    <row r="290" spans="1:17" ht="15">
      <c r="A290" s="27"/>
      <c r="B290" s="6" t="s">
        <v>243</v>
      </c>
      <c r="C290" s="2"/>
      <c r="D290" s="49">
        <v>226</v>
      </c>
      <c r="E290" s="7" t="s">
        <v>6</v>
      </c>
      <c r="F290" s="41"/>
      <c r="G290" s="49">
        <v>246</v>
      </c>
      <c r="H290" s="7" t="s">
        <v>6</v>
      </c>
      <c r="I290" s="41"/>
      <c r="J290" s="49">
        <v>254</v>
      </c>
      <c r="K290" s="7" t="s">
        <v>6</v>
      </c>
      <c r="L290" s="65"/>
      <c r="P290" s="70"/>
      <c r="Q290" s="15"/>
    </row>
    <row r="291" spans="1:17" ht="15">
      <c r="A291" s="27"/>
      <c r="B291" s="6" t="s">
        <v>244</v>
      </c>
      <c r="C291" s="2"/>
      <c r="D291" s="49">
        <v>172.89</v>
      </c>
      <c r="E291" s="7" t="s">
        <v>6</v>
      </c>
      <c r="F291" s="41"/>
      <c r="G291" s="49">
        <v>188.19</v>
      </c>
      <c r="H291" s="7" t="s">
        <v>6</v>
      </c>
      <c r="I291" s="41"/>
      <c r="J291" s="49">
        <v>194.31</v>
      </c>
      <c r="K291" s="7" t="s">
        <v>6</v>
      </c>
      <c r="L291" s="65"/>
      <c r="P291" s="70"/>
      <c r="Q291" s="15"/>
    </row>
    <row r="292" spans="1:17" ht="15">
      <c r="A292" s="27"/>
      <c r="B292" s="5" t="s">
        <v>245</v>
      </c>
      <c r="C292" s="2"/>
      <c r="D292" s="90"/>
      <c r="E292" s="90"/>
      <c r="F292" s="33"/>
      <c r="G292" s="90"/>
      <c r="H292" s="90"/>
      <c r="I292" s="34"/>
      <c r="J292" s="90"/>
      <c r="K292" s="90"/>
      <c r="L292" s="62"/>
      <c r="P292" s="86"/>
      <c r="Q292" s="86"/>
    </row>
    <row r="293" spans="1:17" ht="15">
      <c r="A293" s="27"/>
      <c r="B293" s="8" t="s">
        <v>246</v>
      </c>
      <c r="C293" s="2"/>
      <c r="D293" s="91"/>
      <c r="E293" s="91"/>
      <c r="F293" s="33"/>
      <c r="G293" s="91"/>
      <c r="H293" s="91"/>
      <c r="I293" s="34"/>
      <c r="J293" s="91"/>
      <c r="K293" s="91"/>
      <c r="L293" s="62"/>
      <c r="P293" s="86"/>
      <c r="Q293" s="86"/>
    </row>
    <row r="294" spans="1:17" ht="15">
      <c r="A294" s="27"/>
      <c r="B294" s="6" t="s">
        <v>454</v>
      </c>
      <c r="C294" s="2"/>
      <c r="D294" s="47">
        <f>7.25*$M$3</f>
        <v>302.238</v>
      </c>
      <c r="E294" s="7" t="s">
        <v>6</v>
      </c>
      <c r="F294" s="41"/>
      <c r="G294" s="47">
        <f>7.83*$M$3</f>
        <v>326.41704000000004</v>
      </c>
      <c r="H294" s="7" t="s">
        <v>6</v>
      </c>
      <c r="I294" s="41"/>
      <c r="J294" s="47">
        <f>8.41*$M$3</f>
        <v>350.59608000000003</v>
      </c>
      <c r="K294" s="7" t="s">
        <v>6</v>
      </c>
      <c r="L294" s="65"/>
      <c r="P294" s="70"/>
      <c r="Q294" s="15"/>
    </row>
    <row r="295" spans="1:17" ht="15">
      <c r="A295" s="27"/>
      <c r="B295" s="8" t="s">
        <v>247</v>
      </c>
      <c r="C295" s="2"/>
      <c r="D295" s="91"/>
      <c r="E295" s="91"/>
      <c r="F295" s="33"/>
      <c r="G295" s="91"/>
      <c r="H295" s="91"/>
      <c r="I295" s="34"/>
      <c r="J295" s="91"/>
      <c r="K295" s="91"/>
      <c r="L295" s="62"/>
      <c r="P295" s="86"/>
      <c r="Q295" s="86"/>
    </row>
    <row r="296" spans="1:17" ht="15">
      <c r="A296" s="27"/>
      <c r="B296" s="6" t="s">
        <v>455</v>
      </c>
      <c r="C296" s="2"/>
      <c r="D296" s="47">
        <f>1.22*$M$3</f>
        <v>50.85936</v>
      </c>
      <c r="E296" s="7" t="s">
        <v>50</v>
      </c>
      <c r="F296" s="41"/>
      <c r="G296" s="47">
        <f>1.31*$M$3</f>
        <v>54.61128000000001</v>
      </c>
      <c r="H296" s="7" t="s">
        <v>50</v>
      </c>
      <c r="I296" s="41"/>
      <c r="J296" s="47">
        <f>1.41*$M$3</f>
        <v>58.78008</v>
      </c>
      <c r="K296" s="7" t="s">
        <v>50</v>
      </c>
      <c r="L296" s="65"/>
      <c r="P296" s="70"/>
      <c r="Q296" s="15"/>
    </row>
    <row r="297" spans="1:17" ht="15">
      <c r="A297" s="27"/>
      <c r="B297" s="5" t="s">
        <v>248</v>
      </c>
      <c r="C297" s="2"/>
      <c r="D297" s="90"/>
      <c r="E297" s="90"/>
      <c r="F297" s="33"/>
      <c r="G297" s="90"/>
      <c r="H297" s="90"/>
      <c r="I297" s="34"/>
      <c r="J297" s="90"/>
      <c r="K297" s="90"/>
      <c r="L297" s="62"/>
      <c r="P297" s="86"/>
      <c r="Q297" s="86"/>
    </row>
    <row r="298" spans="1:17" ht="15">
      <c r="A298" s="27"/>
      <c r="B298" s="6" t="s">
        <v>249</v>
      </c>
      <c r="C298" s="2"/>
      <c r="D298" s="49">
        <v>285.6</v>
      </c>
      <c r="E298" s="7" t="s">
        <v>6</v>
      </c>
      <c r="F298" s="41"/>
      <c r="G298" s="49">
        <v>309.4</v>
      </c>
      <c r="H298" s="7" t="s">
        <v>6</v>
      </c>
      <c r="I298" s="41"/>
      <c r="J298" s="49">
        <v>333.2</v>
      </c>
      <c r="K298" s="7" t="s">
        <v>6</v>
      </c>
      <c r="L298" s="65"/>
      <c r="P298" s="70"/>
      <c r="Q298" s="15"/>
    </row>
    <row r="299" spans="1:17" ht="15">
      <c r="A299" s="27"/>
      <c r="B299" s="6" t="s">
        <v>250</v>
      </c>
      <c r="C299" s="2"/>
      <c r="D299" s="49">
        <v>378.29</v>
      </c>
      <c r="E299" s="7" t="s">
        <v>6</v>
      </c>
      <c r="F299" s="41"/>
      <c r="G299" s="49">
        <v>409.82</v>
      </c>
      <c r="H299" s="7" t="s">
        <v>6</v>
      </c>
      <c r="I299" s="41"/>
      <c r="J299" s="49">
        <v>441.34</v>
      </c>
      <c r="K299" s="7" t="s">
        <v>6</v>
      </c>
      <c r="L299" s="65"/>
      <c r="P299" s="70"/>
      <c r="Q299" s="15"/>
    </row>
    <row r="300" spans="1:17" ht="15">
      <c r="A300" s="27"/>
      <c r="B300" s="6" t="s">
        <v>251</v>
      </c>
      <c r="C300" s="2"/>
      <c r="D300" s="49">
        <v>5.04</v>
      </c>
      <c r="E300" s="7" t="s">
        <v>6</v>
      </c>
      <c r="F300" s="41"/>
      <c r="G300" s="49">
        <v>5.46</v>
      </c>
      <c r="H300" s="7" t="s">
        <v>6</v>
      </c>
      <c r="I300" s="41"/>
      <c r="J300" s="49">
        <v>5.88</v>
      </c>
      <c r="K300" s="7" t="s">
        <v>6</v>
      </c>
      <c r="L300" s="65"/>
      <c r="P300" s="70"/>
      <c r="Q300" s="15"/>
    </row>
    <row r="301" spans="1:17" ht="15">
      <c r="A301" s="27"/>
      <c r="B301" s="6" t="s">
        <v>252</v>
      </c>
      <c r="C301" s="2"/>
      <c r="D301" s="49">
        <v>5.04</v>
      </c>
      <c r="E301" s="7" t="s">
        <v>6</v>
      </c>
      <c r="F301" s="41"/>
      <c r="G301" s="49">
        <v>5.46</v>
      </c>
      <c r="H301" s="7" t="s">
        <v>6</v>
      </c>
      <c r="I301" s="41"/>
      <c r="J301" s="49">
        <v>5.88</v>
      </c>
      <c r="K301" s="7" t="s">
        <v>6</v>
      </c>
      <c r="L301" s="65"/>
      <c r="P301" s="70"/>
      <c r="Q301" s="15"/>
    </row>
    <row r="302" spans="1:17" ht="15">
      <c r="A302" s="27"/>
      <c r="B302" s="6" t="s">
        <v>253</v>
      </c>
      <c r="C302" s="2"/>
      <c r="D302" s="49">
        <v>28.47</v>
      </c>
      <c r="E302" s="7" t="s">
        <v>6</v>
      </c>
      <c r="F302" s="41"/>
      <c r="G302" s="49">
        <v>28.47</v>
      </c>
      <c r="H302" s="7" t="s">
        <v>6</v>
      </c>
      <c r="I302" s="41"/>
      <c r="J302" s="49">
        <v>28.47</v>
      </c>
      <c r="K302" s="7" t="s">
        <v>6</v>
      </c>
      <c r="L302" s="65"/>
      <c r="P302" s="70"/>
      <c r="Q302" s="15"/>
    </row>
    <row r="303" spans="1:17" ht="15">
      <c r="A303" s="27"/>
      <c r="B303" s="6" t="s">
        <v>254</v>
      </c>
      <c r="C303" s="2"/>
      <c r="D303" s="49">
        <v>28.47</v>
      </c>
      <c r="E303" s="7" t="s">
        <v>6</v>
      </c>
      <c r="F303" s="41"/>
      <c r="G303" s="49">
        <v>28.47</v>
      </c>
      <c r="H303" s="7" t="s">
        <v>6</v>
      </c>
      <c r="I303" s="41"/>
      <c r="J303" s="49">
        <v>28.47</v>
      </c>
      <c r="K303" s="7" t="s">
        <v>6</v>
      </c>
      <c r="L303" s="65"/>
      <c r="P303" s="70"/>
      <c r="Q303" s="15"/>
    </row>
    <row r="304" spans="1:17" ht="15">
      <c r="A304" s="27"/>
      <c r="B304" s="5" t="s">
        <v>255</v>
      </c>
      <c r="C304" s="2"/>
      <c r="D304" s="90"/>
      <c r="E304" s="90"/>
      <c r="F304" s="33"/>
      <c r="G304" s="90"/>
      <c r="H304" s="90"/>
      <c r="I304" s="34"/>
      <c r="J304" s="90"/>
      <c r="K304" s="90"/>
      <c r="L304" s="62"/>
      <c r="P304" s="86"/>
      <c r="Q304" s="86"/>
    </row>
    <row r="305" spans="1:17" ht="15">
      <c r="A305" s="27"/>
      <c r="B305" s="6" t="s">
        <v>256</v>
      </c>
      <c r="C305" s="2"/>
      <c r="D305" s="49">
        <v>527.19</v>
      </c>
      <c r="E305" s="7" t="s">
        <v>6</v>
      </c>
      <c r="F305" s="41"/>
      <c r="G305" s="49">
        <v>563.86</v>
      </c>
      <c r="H305" s="7" t="s">
        <v>6</v>
      </c>
      <c r="I305" s="41"/>
      <c r="J305" s="49">
        <v>577.61</v>
      </c>
      <c r="K305" s="7" t="s">
        <v>6</v>
      </c>
      <c r="L305" s="65"/>
      <c r="P305" s="70"/>
      <c r="Q305" s="15"/>
    </row>
    <row r="306" spans="1:17" ht="15">
      <c r="A306" s="27"/>
      <c r="B306" s="6" t="s">
        <v>257</v>
      </c>
      <c r="C306" s="2"/>
      <c r="D306" s="49">
        <v>676.2</v>
      </c>
      <c r="E306" s="7" t="s">
        <v>6</v>
      </c>
      <c r="F306" s="41"/>
      <c r="G306" s="49">
        <v>723.24</v>
      </c>
      <c r="H306" s="7" t="s">
        <v>6</v>
      </c>
      <c r="I306" s="41"/>
      <c r="J306" s="49">
        <v>740.88</v>
      </c>
      <c r="K306" s="7" t="s">
        <v>6</v>
      </c>
      <c r="L306" s="65"/>
      <c r="P306" s="70"/>
      <c r="Q306" s="15"/>
    </row>
    <row r="307" spans="1:17" ht="15">
      <c r="A307" s="27"/>
      <c r="B307" s="6" t="s">
        <v>258</v>
      </c>
      <c r="C307" s="2"/>
      <c r="D307" s="49">
        <v>1659.91</v>
      </c>
      <c r="E307" s="7" t="s">
        <v>6</v>
      </c>
      <c r="F307" s="41"/>
      <c r="G307" s="49">
        <v>1775.39</v>
      </c>
      <c r="H307" s="7" t="s">
        <v>6</v>
      </c>
      <c r="I307" s="41"/>
      <c r="J307" s="49">
        <v>1818.69</v>
      </c>
      <c r="K307" s="7" t="s">
        <v>6</v>
      </c>
      <c r="L307" s="65"/>
      <c r="P307" s="70"/>
      <c r="Q307" s="15"/>
    </row>
    <row r="308" spans="1:17" ht="15">
      <c r="A308" s="27"/>
      <c r="B308" s="6" t="s">
        <v>259</v>
      </c>
      <c r="C308" s="2"/>
      <c r="D308" s="49">
        <v>19.93</v>
      </c>
      <c r="E308" s="7" t="s">
        <v>6</v>
      </c>
      <c r="F308" s="41"/>
      <c r="G308" s="49">
        <v>21.32</v>
      </c>
      <c r="H308" s="7" t="s">
        <v>6</v>
      </c>
      <c r="I308" s="41"/>
      <c r="J308" s="49">
        <v>21.84</v>
      </c>
      <c r="K308" s="7" t="s">
        <v>6</v>
      </c>
      <c r="L308" s="65"/>
      <c r="P308" s="70"/>
      <c r="Q308" s="15"/>
    </row>
    <row r="309" spans="1:17" ht="15">
      <c r="A309" s="27"/>
      <c r="B309" s="6" t="s">
        <v>260</v>
      </c>
      <c r="C309" s="2"/>
      <c r="D309" s="49">
        <v>23.92</v>
      </c>
      <c r="E309" s="7" t="s">
        <v>6</v>
      </c>
      <c r="F309" s="41"/>
      <c r="G309" s="49">
        <v>25.59</v>
      </c>
      <c r="H309" s="7" t="s">
        <v>6</v>
      </c>
      <c r="I309" s="41"/>
      <c r="J309" s="49">
        <v>26.21</v>
      </c>
      <c r="K309" s="7" t="s">
        <v>6</v>
      </c>
      <c r="L309" s="65"/>
      <c r="P309" s="70"/>
      <c r="Q309" s="15"/>
    </row>
    <row r="310" spans="1:17" ht="15">
      <c r="A310" s="27"/>
      <c r="B310" s="6" t="s">
        <v>261</v>
      </c>
      <c r="C310" s="2"/>
      <c r="D310" s="49">
        <v>33.21</v>
      </c>
      <c r="E310" s="7" t="s">
        <v>6</v>
      </c>
      <c r="F310" s="41"/>
      <c r="G310" s="49">
        <v>35.52</v>
      </c>
      <c r="H310" s="7" t="s">
        <v>6</v>
      </c>
      <c r="I310" s="41"/>
      <c r="J310" s="49">
        <v>36.38</v>
      </c>
      <c r="K310" s="7" t="s">
        <v>6</v>
      </c>
      <c r="L310" s="65"/>
      <c r="P310" s="70"/>
      <c r="Q310" s="15"/>
    </row>
    <row r="311" spans="1:17" ht="15">
      <c r="A311" s="27"/>
      <c r="B311" s="5" t="s">
        <v>264</v>
      </c>
      <c r="C311" s="2"/>
      <c r="D311" s="90"/>
      <c r="E311" s="90"/>
      <c r="F311" s="33"/>
      <c r="G311" s="90"/>
      <c r="H311" s="90"/>
      <c r="I311" s="34"/>
      <c r="J311" s="90"/>
      <c r="K311" s="90"/>
      <c r="L311" s="62"/>
      <c r="P311" s="86"/>
      <c r="Q311" s="86"/>
    </row>
    <row r="312" spans="1:17" ht="15">
      <c r="A312" s="27"/>
      <c r="B312" s="8" t="s">
        <v>237</v>
      </c>
      <c r="C312" s="2"/>
      <c r="D312" s="91"/>
      <c r="E312" s="91"/>
      <c r="F312" s="33"/>
      <c r="G312" s="91"/>
      <c r="H312" s="91"/>
      <c r="I312" s="34"/>
      <c r="J312" s="91"/>
      <c r="K312" s="91"/>
      <c r="L312" s="62"/>
      <c r="P312" s="86"/>
      <c r="Q312" s="86"/>
    </row>
    <row r="313" spans="1:17" ht="15">
      <c r="A313" s="27"/>
      <c r="B313" s="6" t="s">
        <v>262</v>
      </c>
      <c r="C313" s="2"/>
      <c r="D313" s="49">
        <v>407.1</v>
      </c>
      <c r="E313" s="7" t="s">
        <v>6</v>
      </c>
      <c r="F313" s="41"/>
      <c r="G313" s="49">
        <v>435.42</v>
      </c>
      <c r="H313" s="7" t="s">
        <v>6</v>
      </c>
      <c r="I313" s="41"/>
      <c r="J313" s="49">
        <v>460.2</v>
      </c>
      <c r="K313" s="7" t="s">
        <v>6</v>
      </c>
      <c r="L313" s="65"/>
      <c r="P313" s="70"/>
      <c r="Q313" s="15"/>
    </row>
    <row r="314" spans="1:17" ht="15">
      <c r="A314" s="27"/>
      <c r="B314" s="6" t="s">
        <v>263</v>
      </c>
      <c r="C314" s="2"/>
      <c r="D314" s="49">
        <v>13.8</v>
      </c>
      <c r="E314" s="7" t="s">
        <v>6</v>
      </c>
      <c r="F314" s="41"/>
      <c r="G314" s="49">
        <v>14.76</v>
      </c>
      <c r="H314" s="7" t="s">
        <v>6</v>
      </c>
      <c r="I314" s="41"/>
      <c r="J314" s="49">
        <v>15.6</v>
      </c>
      <c r="K314" s="7" t="s">
        <v>6</v>
      </c>
      <c r="L314" s="65"/>
      <c r="P314" s="70"/>
      <c r="Q314" s="15"/>
    </row>
    <row r="315" spans="1:17" ht="15">
      <c r="A315" s="27"/>
      <c r="B315" s="8" t="s">
        <v>240</v>
      </c>
      <c r="C315" s="2"/>
      <c r="D315" s="91"/>
      <c r="E315" s="91"/>
      <c r="F315" s="33"/>
      <c r="G315" s="91"/>
      <c r="H315" s="91"/>
      <c r="I315" s="34"/>
      <c r="J315" s="91"/>
      <c r="K315" s="91"/>
      <c r="L315" s="62"/>
      <c r="P315" s="86"/>
      <c r="Q315" s="86"/>
    </row>
    <row r="316" spans="1:17" ht="15">
      <c r="A316" s="27"/>
      <c r="B316" s="6" t="s">
        <v>265</v>
      </c>
      <c r="C316" s="2"/>
      <c r="D316" s="49">
        <v>501.4</v>
      </c>
      <c r="E316" s="7" t="s">
        <v>6</v>
      </c>
      <c r="F316" s="41"/>
      <c r="G316" s="49">
        <v>536.28</v>
      </c>
      <c r="H316" s="7" t="s">
        <v>6</v>
      </c>
      <c r="I316" s="41"/>
      <c r="J316" s="49">
        <v>566.8</v>
      </c>
      <c r="K316" s="7" t="s">
        <v>6</v>
      </c>
      <c r="L316" s="65"/>
      <c r="P316" s="70"/>
      <c r="Q316" s="15"/>
    </row>
    <row r="317" spans="1:17" ht="15">
      <c r="A317" s="27"/>
      <c r="B317" s="6" t="s">
        <v>266</v>
      </c>
      <c r="C317" s="2"/>
      <c r="D317" s="49">
        <v>21.85</v>
      </c>
      <c r="E317" s="7" t="s">
        <v>6</v>
      </c>
      <c r="F317" s="41"/>
      <c r="G317" s="49">
        <v>23.37</v>
      </c>
      <c r="H317" s="7" t="s">
        <v>6</v>
      </c>
      <c r="I317" s="41"/>
      <c r="J317" s="49">
        <v>24.7</v>
      </c>
      <c r="K317" s="7" t="s">
        <v>6</v>
      </c>
      <c r="L317" s="65"/>
      <c r="P317" s="70"/>
      <c r="Q317" s="15"/>
    </row>
    <row r="318" spans="1:17" ht="15">
      <c r="A318" s="27"/>
      <c r="B318" s="8" t="s">
        <v>242</v>
      </c>
      <c r="C318" s="2"/>
      <c r="D318" s="91"/>
      <c r="E318" s="91"/>
      <c r="F318" s="33"/>
      <c r="G318" s="91"/>
      <c r="H318" s="91"/>
      <c r="I318" s="34"/>
      <c r="J318" s="91"/>
      <c r="K318" s="91"/>
      <c r="L318" s="62"/>
      <c r="P318" s="86"/>
      <c r="Q318" s="86"/>
    </row>
    <row r="319" spans="1:17" ht="15">
      <c r="A319" s="27"/>
      <c r="B319" s="6" t="s">
        <v>267</v>
      </c>
      <c r="C319" s="2"/>
      <c r="D319" s="49">
        <v>876.81</v>
      </c>
      <c r="E319" s="7" t="s">
        <v>6</v>
      </c>
      <c r="F319" s="41"/>
      <c r="G319" s="49">
        <v>937.85</v>
      </c>
      <c r="H319" s="7" t="s">
        <v>6</v>
      </c>
      <c r="I319" s="41"/>
      <c r="J319" s="49">
        <v>991.18</v>
      </c>
      <c r="K319" s="7" t="s">
        <v>6</v>
      </c>
      <c r="L319" s="65"/>
      <c r="P319" s="70"/>
      <c r="Q319" s="15"/>
    </row>
    <row r="320" spans="1:17" ht="15">
      <c r="A320" s="27"/>
      <c r="B320" s="6" t="s">
        <v>268</v>
      </c>
      <c r="C320" s="10"/>
      <c r="D320" s="49">
        <v>30.18</v>
      </c>
      <c r="E320" s="7" t="s">
        <v>6</v>
      </c>
      <c r="F320" s="41"/>
      <c r="G320" s="49">
        <v>32.65</v>
      </c>
      <c r="H320" s="7" t="s">
        <v>6</v>
      </c>
      <c r="I320" s="41"/>
      <c r="J320" s="49">
        <v>34.12</v>
      </c>
      <c r="K320" s="7" t="s">
        <v>6</v>
      </c>
      <c r="L320" s="65"/>
      <c r="P320" s="70"/>
      <c r="Q320" s="15"/>
    </row>
    <row r="321" spans="1:17" ht="15">
      <c r="A321" s="27"/>
      <c r="B321" s="5" t="s">
        <v>269</v>
      </c>
      <c r="C321" s="2"/>
      <c r="D321" s="90"/>
      <c r="E321" s="90"/>
      <c r="F321" s="33"/>
      <c r="G321" s="90"/>
      <c r="H321" s="90"/>
      <c r="I321" s="34"/>
      <c r="J321" s="90"/>
      <c r="K321" s="90"/>
      <c r="L321" s="62"/>
      <c r="P321" s="86"/>
      <c r="Q321" s="86"/>
    </row>
    <row r="322" spans="1:17" ht="15">
      <c r="A322" s="27"/>
      <c r="B322" s="6" t="s">
        <v>270</v>
      </c>
      <c r="C322" s="2"/>
      <c r="D322" s="49">
        <v>4.22</v>
      </c>
      <c r="E322" s="7" t="s">
        <v>6</v>
      </c>
      <c r="F322" s="41"/>
      <c r="G322" s="49">
        <v>4.55</v>
      </c>
      <c r="H322" s="7" t="s">
        <v>6</v>
      </c>
      <c r="I322" s="41"/>
      <c r="J322" s="49">
        <v>5.06</v>
      </c>
      <c r="K322" s="7" t="s">
        <v>6</v>
      </c>
      <c r="L322" s="65"/>
      <c r="P322" s="70"/>
      <c r="Q322" s="15"/>
    </row>
    <row r="323" spans="1:17" ht="15">
      <c r="A323" s="27"/>
      <c r="B323" s="6" t="s">
        <v>271</v>
      </c>
      <c r="C323" s="2"/>
      <c r="D323" s="49">
        <v>3.93</v>
      </c>
      <c r="E323" s="7" t="s">
        <v>6</v>
      </c>
      <c r="F323" s="41"/>
      <c r="G323" s="49">
        <v>4.24</v>
      </c>
      <c r="H323" s="7" t="s">
        <v>6</v>
      </c>
      <c r="I323" s="41"/>
      <c r="J323" s="49">
        <v>4.71</v>
      </c>
      <c r="K323" s="7" t="s">
        <v>6</v>
      </c>
      <c r="L323" s="65"/>
      <c r="P323" s="70"/>
      <c r="Q323" s="15"/>
    </row>
    <row r="324" spans="1:17" ht="15">
      <c r="A324" s="27"/>
      <c r="B324" s="6" t="s">
        <v>272</v>
      </c>
      <c r="C324" s="2"/>
      <c r="D324" s="49">
        <v>159.85</v>
      </c>
      <c r="E324" s="7" t="s">
        <v>6</v>
      </c>
      <c r="F324" s="41"/>
      <c r="G324" s="49">
        <v>187.65</v>
      </c>
      <c r="H324" s="7" t="s">
        <v>6</v>
      </c>
      <c r="I324" s="41"/>
      <c r="J324" s="49">
        <v>187.65</v>
      </c>
      <c r="K324" s="7" t="s">
        <v>6</v>
      </c>
      <c r="L324" s="65"/>
      <c r="P324" s="70"/>
      <c r="Q324" s="15"/>
    </row>
    <row r="325" spans="1:17" ht="15">
      <c r="A325" s="27"/>
      <c r="B325" s="5" t="s">
        <v>273</v>
      </c>
      <c r="C325" s="2"/>
      <c r="D325" s="90"/>
      <c r="E325" s="90"/>
      <c r="F325" s="33"/>
      <c r="G325" s="90"/>
      <c r="H325" s="90"/>
      <c r="I325" s="34"/>
      <c r="J325" s="90"/>
      <c r="K325" s="90"/>
      <c r="L325" s="62"/>
      <c r="P325" s="86"/>
      <c r="Q325" s="86"/>
    </row>
    <row r="326" spans="1:17" ht="15">
      <c r="A326" s="27"/>
      <c r="B326" s="6" t="s">
        <v>274</v>
      </c>
      <c r="C326" s="2"/>
      <c r="D326" s="49">
        <v>47.4</v>
      </c>
      <c r="E326" s="7" t="s">
        <v>6</v>
      </c>
      <c r="F326" s="41"/>
      <c r="G326" s="49">
        <v>51.35</v>
      </c>
      <c r="H326" s="7" t="s">
        <v>6</v>
      </c>
      <c r="I326" s="41"/>
      <c r="J326" s="49">
        <v>55.3</v>
      </c>
      <c r="K326" s="7" t="s">
        <v>6</v>
      </c>
      <c r="L326" s="65"/>
      <c r="P326" s="70"/>
      <c r="Q326" s="15"/>
    </row>
    <row r="327" spans="1:17" ht="15">
      <c r="A327" s="27"/>
      <c r="B327" s="5" t="s">
        <v>275</v>
      </c>
      <c r="C327" s="2"/>
      <c r="D327" s="90"/>
      <c r="E327" s="90"/>
      <c r="F327" s="33"/>
      <c r="G327" s="90"/>
      <c r="H327" s="90"/>
      <c r="I327" s="34"/>
      <c r="J327" s="90"/>
      <c r="K327" s="90"/>
      <c r="L327" s="62"/>
      <c r="P327" s="86"/>
      <c r="Q327" s="86"/>
    </row>
    <row r="328" spans="1:17" ht="15">
      <c r="A328" s="27"/>
      <c r="B328" s="6" t="s">
        <v>276</v>
      </c>
      <c r="C328" s="2"/>
      <c r="D328" s="49">
        <v>3.47</v>
      </c>
      <c r="E328" s="7" t="s">
        <v>6</v>
      </c>
      <c r="F328" s="41"/>
      <c r="G328" s="49">
        <v>4.05</v>
      </c>
      <c r="H328" s="7" t="s">
        <v>6</v>
      </c>
      <c r="I328" s="41"/>
      <c r="J328" s="49">
        <v>4.62</v>
      </c>
      <c r="K328" s="7" t="s">
        <v>6</v>
      </c>
      <c r="L328" s="65"/>
      <c r="P328" s="70"/>
      <c r="Q328" s="15"/>
    </row>
    <row r="329" spans="1:17" ht="15">
      <c r="A329" s="27"/>
      <c r="B329" s="6" t="s">
        <v>277</v>
      </c>
      <c r="C329" s="2"/>
      <c r="D329" s="49">
        <v>3.47</v>
      </c>
      <c r="E329" s="7" t="s">
        <v>6</v>
      </c>
      <c r="F329" s="41"/>
      <c r="G329" s="49">
        <v>4.05</v>
      </c>
      <c r="H329" s="7" t="s">
        <v>6</v>
      </c>
      <c r="I329" s="41"/>
      <c r="J329" s="49">
        <v>4.62</v>
      </c>
      <c r="K329" s="7" t="s">
        <v>6</v>
      </c>
      <c r="L329" s="65"/>
      <c r="P329" s="70"/>
      <c r="Q329" s="15"/>
    </row>
    <row r="330" spans="1:17" ht="15">
      <c r="A330" s="27"/>
      <c r="B330" s="6" t="s">
        <v>278</v>
      </c>
      <c r="C330" s="2"/>
      <c r="D330" s="49">
        <v>3.47</v>
      </c>
      <c r="E330" s="7" t="s">
        <v>6</v>
      </c>
      <c r="F330" s="41"/>
      <c r="G330" s="49">
        <v>4.05</v>
      </c>
      <c r="H330" s="7" t="s">
        <v>6</v>
      </c>
      <c r="I330" s="41"/>
      <c r="J330" s="49">
        <v>4.62</v>
      </c>
      <c r="K330" s="7" t="s">
        <v>6</v>
      </c>
      <c r="L330" s="65"/>
      <c r="P330" s="70"/>
      <c r="Q330" s="15"/>
    </row>
    <row r="331" spans="1:17" ht="15">
      <c r="A331" s="27"/>
      <c r="B331" s="5" t="s">
        <v>279</v>
      </c>
      <c r="C331" s="2"/>
      <c r="D331" s="90"/>
      <c r="E331" s="90"/>
      <c r="F331" s="33"/>
      <c r="G331" s="90"/>
      <c r="H331" s="90"/>
      <c r="I331" s="34"/>
      <c r="J331" s="90"/>
      <c r="K331" s="90"/>
      <c r="L331" s="62"/>
      <c r="P331" s="86"/>
      <c r="Q331" s="86"/>
    </row>
    <row r="332" spans="1:17" ht="15">
      <c r="A332" s="27"/>
      <c r="B332" s="8" t="s">
        <v>296</v>
      </c>
      <c r="C332" s="2"/>
      <c r="D332" s="91"/>
      <c r="E332" s="91"/>
      <c r="F332" s="33"/>
      <c r="G332" s="91"/>
      <c r="H332" s="91"/>
      <c r="I332" s="34"/>
      <c r="J332" s="91"/>
      <c r="K332" s="91"/>
      <c r="L332" s="62"/>
      <c r="P332" s="86"/>
      <c r="Q332" s="86"/>
    </row>
    <row r="333" spans="1:17" ht="15">
      <c r="A333" s="27"/>
      <c r="B333" s="6" t="s">
        <v>297</v>
      </c>
      <c r="C333" s="2"/>
      <c r="D333" s="49">
        <v>40.3</v>
      </c>
      <c r="E333" s="7" t="s">
        <v>6</v>
      </c>
      <c r="F333" s="41"/>
      <c r="G333" s="49">
        <v>44.95</v>
      </c>
      <c r="H333" s="7" t="s">
        <v>6</v>
      </c>
      <c r="I333" s="41"/>
      <c r="J333" s="49">
        <v>49.6</v>
      </c>
      <c r="K333" s="7" t="s">
        <v>6</v>
      </c>
      <c r="L333" s="65"/>
      <c r="P333" s="70"/>
      <c r="Q333" s="15"/>
    </row>
    <row r="334" spans="1:17" ht="15">
      <c r="A334" s="27"/>
      <c r="B334" s="6" t="s">
        <v>298</v>
      </c>
      <c r="C334" s="2"/>
      <c r="D334" s="49">
        <v>40.3</v>
      </c>
      <c r="E334" s="7" t="s">
        <v>6</v>
      </c>
      <c r="F334" s="41"/>
      <c r="G334" s="49">
        <v>44.95</v>
      </c>
      <c r="H334" s="7" t="s">
        <v>6</v>
      </c>
      <c r="I334" s="41"/>
      <c r="J334" s="49">
        <v>49.6</v>
      </c>
      <c r="K334" s="7" t="s">
        <v>6</v>
      </c>
      <c r="L334" s="65"/>
      <c r="P334" s="70"/>
      <c r="Q334" s="15"/>
    </row>
    <row r="335" spans="1:17" ht="15">
      <c r="A335" s="27"/>
      <c r="B335" s="6" t="s">
        <v>299</v>
      </c>
      <c r="C335" s="2"/>
      <c r="D335" s="49">
        <v>42.9</v>
      </c>
      <c r="E335" s="7" t="s">
        <v>6</v>
      </c>
      <c r="F335" s="41"/>
      <c r="G335" s="49">
        <v>47.85</v>
      </c>
      <c r="H335" s="7" t="s">
        <v>6</v>
      </c>
      <c r="I335" s="41"/>
      <c r="J335" s="49">
        <v>52.8</v>
      </c>
      <c r="K335" s="7" t="s">
        <v>6</v>
      </c>
      <c r="L335" s="65"/>
      <c r="P335" s="70"/>
      <c r="Q335" s="15"/>
    </row>
    <row r="336" spans="1:17" ht="15">
      <c r="A336" s="27"/>
      <c r="B336" s="6" t="s">
        <v>300</v>
      </c>
      <c r="C336" s="2"/>
      <c r="D336" s="49">
        <v>61.1</v>
      </c>
      <c r="E336" s="7" t="s">
        <v>6</v>
      </c>
      <c r="F336" s="41"/>
      <c r="G336" s="49">
        <v>68.15</v>
      </c>
      <c r="H336" s="7" t="s">
        <v>6</v>
      </c>
      <c r="I336" s="41"/>
      <c r="J336" s="49">
        <v>75.2</v>
      </c>
      <c r="K336" s="7" t="s">
        <v>6</v>
      </c>
      <c r="L336" s="65"/>
      <c r="P336" s="70"/>
      <c r="Q336" s="15"/>
    </row>
    <row r="337" spans="1:17" ht="15">
      <c r="A337" s="27"/>
      <c r="B337" s="6" t="s">
        <v>301</v>
      </c>
      <c r="C337" s="2"/>
      <c r="D337" s="49">
        <v>75.4</v>
      </c>
      <c r="E337" s="7" t="s">
        <v>6</v>
      </c>
      <c r="F337" s="41"/>
      <c r="G337" s="49">
        <v>84.1</v>
      </c>
      <c r="H337" s="7" t="s">
        <v>6</v>
      </c>
      <c r="I337" s="41"/>
      <c r="J337" s="49">
        <v>92.8</v>
      </c>
      <c r="K337" s="7" t="s">
        <v>6</v>
      </c>
      <c r="L337" s="65"/>
      <c r="P337" s="70"/>
      <c r="Q337" s="15"/>
    </row>
    <row r="338" spans="1:17" ht="15">
      <c r="A338" s="27"/>
      <c r="B338" s="8" t="s">
        <v>288</v>
      </c>
      <c r="C338" s="2"/>
      <c r="D338" s="91"/>
      <c r="E338" s="91"/>
      <c r="F338" s="33"/>
      <c r="G338" s="91"/>
      <c r="H338" s="91"/>
      <c r="I338" s="34"/>
      <c r="J338" s="91"/>
      <c r="K338" s="91"/>
      <c r="L338" s="62"/>
      <c r="P338" s="86"/>
      <c r="Q338" s="86"/>
    </row>
    <row r="339" spans="1:17" ht="15">
      <c r="A339" s="27"/>
      <c r="B339" s="6" t="s">
        <v>289</v>
      </c>
      <c r="C339" s="2"/>
      <c r="D339" s="49">
        <v>241.34</v>
      </c>
      <c r="E339" s="7" t="s">
        <v>6</v>
      </c>
      <c r="F339" s="41"/>
      <c r="G339" s="49">
        <v>269.18</v>
      </c>
      <c r="H339" s="7" t="s">
        <v>6</v>
      </c>
      <c r="I339" s="41"/>
      <c r="J339" s="49">
        <v>297.03</v>
      </c>
      <c r="K339" s="7" t="s">
        <v>6</v>
      </c>
      <c r="L339" s="65"/>
      <c r="P339" s="70"/>
      <c r="Q339" s="15"/>
    </row>
    <row r="340" spans="1:17" ht="15">
      <c r="A340" s="27"/>
      <c r="B340" s="6" t="s">
        <v>290</v>
      </c>
      <c r="C340" s="2"/>
      <c r="D340" s="49">
        <v>309.4</v>
      </c>
      <c r="E340" s="7" t="s">
        <v>6</v>
      </c>
      <c r="F340" s="41"/>
      <c r="G340" s="49">
        <v>345.1</v>
      </c>
      <c r="H340" s="7" t="s">
        <v>6</v>
      </c>
      <c r="I340" s="41"/>
      <c r="J340" s="49">
        <v>380.8</v>
      </c>
      <c r="K340" s="7" t="s">
        <v>6</v>
      </c>
      <c r="L340" s="65"/>
      <c r="P340" s="70"/>
      <c r="Q340" s="15"/>
    </row>
    <row r="341" spans="1:17" ht="15">
      <c r="A341" s="27"/>
      <c r="B341" s="6" t="s">
        <v>291</v>
      </c>
      <c r="C341" s="2"/>
      <c r="D341" s="49">
        <v>263.54</v>
      </c>
      <c r="E341" s="7" t="s">
        <v>6</v>
      </c>
      <c r="F341" s="41"/>
      <c r="G341" s="49">
        <v>293.95</v>
      </c>
      <c r="H341" s="7" t="s">
        <v>6</v>
      </c>
      <c r="I341" s="41"/>
      <c r="J341" s="49">
        <v>324.36</v>
      </c>
      <c r="K341" s="7" t="s">
        <v>6</v>
      </c>
      <c r="L341" s="65"/>
      <c r="P341" s="70"/>
      <c r="Q341" s="15"/>
    </row>
    <row r="342" spans="1:17" ht="15">
      <c r="A342" s="27"/>
      <c r="B342" s="6" t="s">
        <v>292</v>
      </c>
      <c r="C342" s="2"/>
      <c r="D342" s="49">
        <v>270.3</v>
      </c>
      <c r="E342" s="7" t="s">
        <v>6</v>
      </c>
      <c r="F342" s="41"/>
      <c r="G342" s="49">
        <v>301.49</v>
      </c>
      <c r="H342" s="7" t="s">
        <v>6</v>
      </c>
      <c r="I342" s="41"/>
      <c r="J342" s="49">
        <v>332.68</v>
      </c>
      <c r="K342" s="7" t="s">
        <v>6</v>
      </c>
      <c r="L342" s="65"/>
      <c r="P342" s="70"/>
      <c r="Q342" s="15"/>
    </row>
    <row r="343" spans="1:17" ht="15">
      <c r="A343" s="27"/>
      <c r="B343" s="6" t="s">
        <v>293</v>
      </c>
      <c r="C343" s="2"/>
      <c r="D343" s="49">
        <v>436.8</v>
      </c>
      <c r="E343" s="7" t="s">
        <v>6</v>
      </c>
      <c r="F343" s="41"/>
      <c r="G343" s="49">
        <v>487.2</v>
      </c>
      <c r="H343" s="7" t="s">
        <v>6</v>
      </c>
      <c r="I343" s="41"/>
      <c r="J343" s="49">
        <v>537.6</v>
      </c>
      <c r="K343" s="7" t="s">
        <v>6</v>
      </c>
      <c r="L343" s="65"/>
      <c r="P343" s="70"/>
      <c r="Q343" s="15"/>
    </row>
    <row r="344" spans="1:17" ht="15">
      <c r="A344" s="27"/>
      <c r="B344" s="6" t="s">
        <v>294</v>
      </c>
      <c r="C344" s="2"/>
      <c r="D344" s="49">
        <v>376.08</v>
      </c>
      <c r="E344" s="7" t="s">
        <v>6</v>
      </c>
      <c r="F344" s="41"/>
      <c r="G344" s="49">
        <v>419.48</v>
      </c>
      <c r="H344" s="7" t="s">
        <v>6</v>
      </c>
      <c r="I344" s="41"/>
      <c r="J344" s="49">
        <v>462.87</v>
      </c>
      <c r="K344" s="7" t="s">
        <v>6</v>
      </c>
      <c r="L344" s="65"/>
      <c r="P344" s="70"/>
      <c r="Q344" s="15"/>
    </row>
    <row r="345" spans="1:17" ht="15">
      <c r="A345" s="27"/>
      <c r="B345" s="6" t="s">
        <v>295</v>
      </c>
      <c r="C345" s="2"/>
      <c r="D345" s="49">
        <v>436.8</v>
      </c>
      <c r="E345" s="7" t="s">
        <v>6</v>
      </c>
      <c r="F345" s="41"/>
      <c r="G345" s="49">
        <v>487.2</v>
      </c>
      <c r="H345" s="7" t="s">
        <v>6</v>
      </c>
      <c r="I345" s="41"/>
      <c r="J345" s="49">
        <v>537.6</v>
      </c>
      <c r="K345" s="7" t="s">
        <v>6</v>
      </c>
      <c r="L345" s="65"/>
      <c r="P345" s="70"/>
      <c r="Q345" s="15"/>
    </row>
    <row r="346" spans="1:17" ht="16.5" customHeight="1">
      <c r="A346" s="27"/>
      <c r="B346" s="8" t="s">
        <v>284</v>
      </c>
      <c r="C346" s="2"/>
      <c r="D346" s="91"/>
      <c r="E346" s="91"/>
      <c r="F346" s="33"/>
      <c r="G346" s="91"/>
      <c r="H346" s="91"/>
      <c r="I346" s="34"/>
      <c r="J346" s="91"/>
      <c r="K346" s="91"/>
      <c r="L346" s="62"/>
      <c r="P346" s="86"/>
      <c r="Q346" s="86"/>
    </row>
    <row r="347" spans="1:17" ht="15">
      <c r="A347" s="27"/>
      <c r="B347" s="6" t="s">
        <v>285</v>
      </c>
      <c r="C347" s="2"/>
      <c r="D347" s="49">
        <v>427.99</v>
      </c>
      <c r="E347" s="7" t="s">
        <v>6</v>
      </c>
      <c r="F347" s="41"/>
      <c r="G347" s="49">
        <v>477.37</v>
      </c>
      <c r="H347" s="7" t="s">
        <v>6</v>
      </c>
      <c r="I347" s="41"/>
      <c r="J347" s="49">
        <v>526.76</v>
      </c>
      <c r="K347" s="7" t="s">
        <v>6</v>
      </c>
      <c r="L347" s="65"/>
      <c r="P347" s="70"/>
      <c r="Q347" s="15"/>
    </row>
    <row r="348" spans="1:17" ht="15">
      <c r="A348" s="27"/>
      <c r="B348" s="6" t="s">
        <v>286</v>
      </c>
      <c r="C348" s="2"/>
      <c r="D348" s="49">
        <v>437.19</v>
      </c>
      <c r="E348" s="7" t="s">
        <v>6</v>
      </c>
      <c r="F348" s="41"/>
      <c r="G348" s="49">
        <v>487.64</v>
      </c>
      <c r="H348" s="7" t="s">
        <v>6</v>
      </c>
      <c r="I348" s="41"/>
      <c r="J348" s="49">
        <v>538.08</v>
      </c>
      <c r="K348" s="7" t="s">
        <v>6</v>
      </c>
      <c r="L348" s="65"/>
      <c r="P348" s="70"/>
      <c r="Q348" s="15"/>
    </row>
    <row r="349" spans="1:17" ht="15">
      <c r="A349" s="27"/>
      <c r="B349" s="6" t="s">
        <v>287</v>
      </c>
      <c r="C349" s="2"/>
      <c r="D349" s="49">
        <v>460.2</v>
      </c>
      <c r="E349" s="7" t="s">
        <v>6</v>
      </c>
      <c r="F349" s="41"/>
      <c r="G349" s="49">
        <v>513.3</v>
      </c>
      <c r="H349" s="7" t="s">
        <v>6</v>
      </c>
      <c r="I349" s="41"/>
      <c r="J349" s="49">
        <v>566.4</v>
      </c>
      <c r="K349" s="7" t="s">
        <v>6</v>
      </c>
      <c r="L349" s="65"/>
      <c r="P349" s="70"/>
      <c r="Q349" s="15"/>
    </row>
    <row r="350" spans="1:17" ht="15">
      <c r="A350" s="27"/>
      <c r="B350" s="8" t="s">
        <v>302</v>
      </c>
      <c r="C350" s="2"/>
      <c r="D350" s="91"/>
      <c r="E350" s="91"/>
      <c r="F350" s="33"/>
      <c r="G350" s="91"/>
      <c r="H350" s="91"/>
      <c r="I350" s="34"/>
      <c r="J350" s="91"/>
      <c r="K350" s="91"/>
      <c r="L350" s="62"/>
      <c r="P350" s="86"/>
      <c r="Q350" s="86"/>
    </row>
    <row r="351" spans="1:17" ht="15">
      <c r="A351" s="27"/>
      <c r="B351" s="6" t="s">
        <v>303</v>
      </c>
      <c r="C351" s="2"/>
      <c r="D351" s="49">
        <v>460.2</v>
      </c>
      <c r="E351" s="7" t="s">
        <v>6</v>
      </c>
      <c r="F351" s="41"/>
      <c r="G351" s="49">
        <v>513.3</v>
      </c>
      <c r="H351" s="7" t="s">
        <v>6</v>
      </c>
      <c r="I351" s="41"/>
      <c r="J351" s="49">
        <v>566.4</v>
      </c>
      <c r="K351" s="7" t="s">
        <v>6</v>
      </c>
      <c r="L351" s="65"/>
      <c r="P351" s="70"/>
      <c r="Q351" s="15"/>
    </row>
    <row r="352" spans="1:17" ht="15">
      <c r="A352" s="27"/>
      <c r="B352" s="8" t="s">
        <v>280</v>
      </c>
      <c r="C352" s="2"/>
      <c r="D352" s="91"/>
      <c r="E352" s="91"/>
      <c r="F352" s="33"/>
      <c r="G352" s="91"/>
      <c r="H352" s="91"/>
      <c r="I352" s="34"/>
      <c r="J352" s="91"/>
      <c r="K352" s="91"/>
      <c r="L352" s="62"/>
      <c r="P352" s="86"/>
      <c r="Q352" s="86"/>
    </row>
    <row r="353" spans="1:17" ht="15">
      <c r="A353" s="27"/>
      <c r="B353" s="6" t="s">
        <v>281</v>
      </c>
      <c r="C353" s="2"/>
      <c r="D353" s="49">
        <v>548.1</v>
      </c>
      <c r="E353" s="7" t="s">
        <v>6</v>
      </c>
      <c r="F353" s="41"/>
      <c r="G353" s="49">
        <v>616.14</v>
      </c>
      <c r="H353" s="7" t="s">
        <v>6</v>
      </c>
      <c r="I353" s="41"/>
      <c r="J353" s="49">
        <v>680.4</v>
      </c>
      <c r="K353" s="7" t="s">
        <v>6</v>
      </c>
      <c r="L353" s="65"/>
      <c r="P353" s="70"/>
      <c r="Q353" s="15"/>
    </row>
    <row r="354" spans="1:17" ht="15">
      <c r="A354" s="27"/>
      <c r="B354" s="6" t="s">
        <v>282</v>
      </c>
      <c r="C354" s="2"/>
      <c r="D354" s="49">
        <v>828.36</v>
      </c>
      <c r="E354" s="7" t="s">
        <v>6</v>
      </c>
      <c r="F354" s="41"/>
      <c r="G354" s="49">
        <v>923.94</v>
      </c>
      <c r="H354" s="7" t="s">
        <v>6</v>
      </c>
      <c r="I354" s="41"/>
      <c r="J354" s="49">
        <v>1019.52</v>
      </c>
      <c r="K354" s="7" t="s">
        <v>6</v>
      </c>
      <c r="L354" s="65"/>
      <c r="P354" s="70"/>
      <c r="Q354" s="15"/>
    </row>
    <row r="355" spans="1:17" ht="15">
      <c r="A355" s="27"/>
      <c r="B355" s="6" t="s">
        <v>283</v>
      </c>
      <c r="C355" s="2"/>
      <c r="D355" s="49">
        <v>828.36</v>
      </c>
      <c r="E355" s="7" t="s">
        <v>6</v>
      </c>
      <c r="F355" s="41"/>
      <c r="G355" s="49">
        <v>923.94</v>
      </c>
      <c r="H355" s="7" t="s">
        <v>6</v>
      </c>
      <c r="I355" s="41"/>
      <c r="J355" s="49">
        <v>1019.52</v>
      </c>
      <c r="K355" s="7" t="s">
        <v>6</v>
      </c>
      <c r="L355" s="65"/>
      <c r="P355" s="70"/>
      <c r="Q355" s="15"/>
    </row>
    <row r="356" spans="1:17" ht="15">
      <c r="A356" s="27"/>
      <c r="B356" s="20" t="s">
        <v>401</v>
      </c>
      <c r="C356" s="21"/>
      <c r="D356" s="93"/>
      <c r="E356" s="93"/>
      <c r="F356" s="35"/>
      <c r="G356" s="93"/>
      <c r="H356" s="93"/>
      <c r="I356" s="35"/>
      <c r="J356" s="93"/>
      <c r="K356" s="93"/>
      <c r="L356" s="67"/>
      <c r="P356" s="87"/>
      <c r="Q356" s="87"/>
    </row>
    <row r="357" spans="1:17" ht="15">
      <c r="A357" s="27"/>
      <c r="B357" s="8" t="s">
        <v>304</v>
      </c>
      <c r="C357" s="2"/>
      <c r="D357" s="91"/>
      <c r="E357" s="91"/>
      <c r="F357" s="33"/>
      <c r="G357" s="91"/>
      <c r="H357" s="91"/>
      <c r="I357" s="34"/>
      <c r="J357" s="91"/>
      <c r="K357" s="91"/>
      <c r="L357" s="62"/>
      <c r="P357" s="86"/>
      <c r="Q357" s="86"/>
    </row>
    <row r="358" spans="1:17" ht="15">
      <c r="A358" s="27"/>
      <c r="B358" s="6" t="s">
        <v>305</v>
      </c>
      <c r="C358" s="2"/>
      <c r="D358" s="49">
        <v>6.3</v>
      </c>
      <c r="E358" s="11">
        <v>10</v>
      </c>
      <c r="F358" s="44"/>
      <c r="G358" s="49">
        <v>6.98</v>
      </c>
      <c r="H358" s="11">
        <v>10</v>
      </c>
      <c r="I358" s="44"/>
      <c r="J358" s="49">
        <v>7.65</v>
      </c>
      <c r="K358" s="11">
        <v>10</v>
      </c>
      <c r="L358" s="68"/>
      <c r="P358" s="70"/>
      <c r="Q358" s="74"/>
    </row>
    <row r="359" spans="1:17" ht="15">
      <c r="A359" s="27"/>
      <c r="B359" s="6" t="s">
        <v>306</v>
      </c>
      <c r="C359" s="2"/>
      <c r="D359" s="49">
        <v>10.15</v>
      </c>
      <c r="E359" s="11">
        <v>10</v>
      </c>
      <c r="F359" s="44"/>
      <c r="G359" s="49">
        <v>11.24</v>
      </c>
      <c r="H359" s="11">
        <v>10</v>
      </c>
      <c r="I359" s="44"/>
      <c r="J359" s="49">
        <v>12.33</v>
      </c>
      <c r="K359" s="11">
        <v>10</v>
      </c>
      <c r="L359" s="68"/>
      <c r="P359" s="70"/>
      <c r="Q359" s="74"/>
    </row>
    <row r="360" spans="1:17" ht="15">
      <c r="A360" s="27"/>
      <c r="B360" s="8" t="s">
        <v>307</v>
      </c>
      <c r="C360" s="2"/>
      <c r="D360" s="91"/>
      <c r="E360" s="91"/>
      <c r="F360" s="33"/>
      <c r="G360" s="91"/>
      <c r="H360" s="91"/>
      <c r="I360" s="34"/>
      <c r="J360" s="91"/>
      <c r="K360" s="91"/>
      <c r="L360" s="62"/>
      <c r="P360" s="86"/>
      <c r="Q360" s="86"/>
    </row>
    <row r="361" spans="1:17" ht="15">
      <c r="A361" s="27"/>
      <c r="B361" s="6" t="s">
        <v>308</v>
      </c>
      <c r="C361" s="2"/>
      <c r="D361" s="47">
        <f>61.4*$M$3</f>
        <v>2559.6432</v>
      </c>
      <c r="E361" s="7" t="s">
        <v>6</v>
      </c>
      <c r="F361" s="41"/>
      <c r="G361" s="47">
        <f>66.98*$M$3</f>
        <v>2792.2622400000005</v>
      </c>
      <c r="H361" s="7" t="s">
        <v>6</v>
      </c>
      <c r="I361" s="41"/>
      <c r="J361" s="47">
        <f>72.56*$M$3</f>
        <v>3024.88128</v>
      </c>
      <c r="K361" s="7" t="s">
        <v>6</v>
      </c>
      <c r="L361" s="65"/>
      <c r="P361" s="70"/>
      <c r="Q361" s="15"/>
    </row>
    <row r="362" spans="1:17" ht="15">
      <c r="A362" s="27"/>
      <c r="B362" s="6" t="s">
        <v>309</v>
      </c>
      <c r="C362" s="2"/>
      <c r="D362" s="47">
        <f>65*$M$3</f>
        <v>2709.7200000000003</v>
      </c>
      <c r="E362" s="7" t="s">
        <v>6</v>
      </c>
      <c r="F362" s="41"/>
      <c r="G362" s="47">
        <f>70.91*$M$3</f>
        <v>2956.09608</v>
      </c>
      <c r="H362" s="7" t="s">
        <v>6</v>
      </c>
      <c r="I362" s="41"/>
      <c r="J362" s="47">
        <f>76.82*$M$3</f>
        <v>3202.47216</v>
      </c>
      <c r="K362" s="7" t="s">
        <v>6</v>
      </c>
      <c r="L362" s="65"/>
      <c r="P362" s="70"/>
      <c r="Q362" s="15"/>
    </row>
    <row r="363" spans="1:17" ht="15">
      <c r="A363" s="27"/>
      <c r="B363" s="6" t="s">
        <v>310</v>
      </c>
      <c r="C363" s="2"/>
      <c r="D363" s="47">
        <f>8.97*$M$3</f>
        <v>373.94136000000003</v>
      </c>
      <c r="E363" s="7" t="s">
        <v>6</v>
      </c>
      <c r="F363" s="41"/>
      <c r="G363" s="47">
        <f>9.78*$M$3</f>
        <v>407.70864</v>
      </c>
      <c r="H363" s="7" t="s">
        <v>6</v>
      </c>
      <c r="I363" s="41"/>
      <c r="J363" s="47">
        <f>10.6*$M$3</f>
        <v>441.8928</v>
      </c>
      <c r="K363" s="7" t="s">
        <v>6</v>
      </c>
      <c r="L363" s="65"/>
      <c r="P363" s="70"/>
      <c r="Q363" s="15"/>
    </row>
    <row r="364" spans="1:17" ht="15">
      <c r="A364" s="27"/>
      <c r="B364" s="6" t="s">
        <v>311</v>
      </c>
      <c r="C364" s="2"/>
      <c r="D364" s="47">
        <f>10.43*$M$3</f>
        <v>434.80584</v>
      </c>
      <c r="E364" s="7" t="s">
        <v>6</v>
      </c>
      <c r="F364" s="41"/>
      <c r="G364" s="47">
        <f>11.38*$M$3</f>
        <v>474.4094400000001</v>
      </c>
      <c r="H364" s="7" t="s">
        <v>6</v>
      </c>
      <c r="I364" s="41"/>
      <c r="J364" s="47">
        <f>12.33*$M$3</f>
        <v>514.01304</v>
      </c>
      <c r="K364" s="7" t="s">
        <v>6</v>
      </c>
      <c r="L364" s="65"/>
      <c r="P364" s="70"/>
      <c r="Q364" s="15"/>
    </row>
    <row r="365" spans="1:17" ht="15">
      <c r="A365" s="27"/>
      <c r="B365" s="6" t="s">
        <v>312</v>
      </c>
      <c r="C365" s="2"/>
      <c r="D365" s="49">
        <v>1306.28</v>
      </c>
      <c r="E365" s="7" t="s">
        <v>6</v>
      </c>
      <c r="F365" s="41"/>
      <c r="G365" s="49">
        <v>1421.88</v>
      </c>
      <c r="H365" s="7" t="s">
        <v>6</v>
      </c>
      <c r="I365" s="41"/>
      <c r="J365" s="49">
        <v>1537.48</v>
      </c>
      <c r="K365" s="7" t="s">
        <v>6</v>
      </c>
      <c r="L365" s="65"/>
      <c r="P365" s="70"/>
      <c r="Q365" s="15"/>
    </row>
    <row r="366" spans="1:17" ht="15">
      <c r="A366" s="27"/>
      <c r="B366" s="6" t="s">
        <v>313</v>
      </c>
      <c r="C366" s="2"/>
      <c r="D366" s="49">
        <v>1360.52</v>
      </c>
      <c r="E366" s="7" t="s">
        <v>6</v>
      </c>
      <c r="F366" s="41"/>
      <c r="G366" s="49">
        <v>1480.92</v>
      </c>
      <c r="H366" s="7" t="s">
        <v>6</v>
      </c>
      <c r="I366" s="41"/>
      <c r="J366" s="49">
        <v>1601.32</v>
      </c>
      <c r="K366" s="7" t="s">
        <v>6</v>
      </c>
      <c r="L366" s="65"/>
      <c r="P366" s="70"/>
      <c r="Q366" s="15"/>
    </row>
    <row r="367" spans="1:17" ht="15">
      <c r="A367" s="27"/>
      <c r="B367" s="8" t="s">
        <v>314</v>
      </c>
      <c r="C367" s="2"/>
      <c r="D367" s="91"/>
      <c r="E367" s="91"/>
      <c r="F367" s="33"/>
      <c r="G367" s="91"/>
      <c r="H367" s="91"/>
      <c r="I367" s="34"/>
      <c r="J367" s="91"/>
      <c r="K367" s="91"/>
      <c r="L367" s="62"/>
      <c r="P367" s="86"/>
      <c r="Q367" s="86"/>
    </row>
    <row r="368" spans="1:17" ht="15">
      <c r="A368" s="27"/>
      <c r="B368" s="6" t="s">
        <v>315</v>
      </c>
      <c r="C368" s="2"/>
      <c r="D368" s="49">
        <v>5.5</v>
      </c>
      <c r="E368" s="7" t="s">
        <v>6</v>
      </c>
      <c r="F368" s="41"/>
      <c r="G368" s="49">
        <v>6.5</v>
      </c>
      <c r="H368" s="7" t="s">
        <v>6</v>
      </c>
      <c r="I368" s="41"/>
      <c r="J368" s="49">
        <v>7.5</v>
      </c>
      <c r="K368" s="7" t="s">
        <v>6</v>
      </c>
      <c r="L368" s="65"/>
      <c r="P368" s="70"/>
      <c r="Q368" s="15"/>
    </row>
    <row r="369" spans="1:17" ht="15">
      <c r="A369" s="27"/>
      <c r="B369" s="5" t="s">
        <v>402</v>
      </c>
      <c r="C369" s="2"/>
      <c r="D369" s="90"/>
      <c r="E369" s="90"/>
      <c r="F369" s="33"/>
      <c r="G369" s="90"/>
      <c r="H369" s="90"/>
      <c r="I369" s="34"/>
      <c r="J369" s="90"/>
      <c r="K369" s="90"/>
      <c r="L369" s="62"/>
      <c r="P369" s="86"/>
      <c r="Q369" s="86"/>
    </row>
    <row r="370" spans="1:17" ht="15">
      <c r="A370" s="27"/>
      <c r="B370" s="6" t="s">
        <v>403</v>
      </c>
      <c r="C370" s="2"/>
      <c r="D370" s="47">
        <f>1.86*$M$3</f>
        <v>77.53968</v>
      </c>
      <c r="E370" s="7" t="s">
        <v>6</v>
      </c>
      <c r="F370" s="41"/>
      <c r="G370" s="47">
        <f>2.1*$M$3</f>
        <v>87.54480000000001</v>
      </c>
      <c r="H370" s="7" t="s">
        <v>6</v>
      </c>
      <c r="I370" s="41"/>
      <c r="J370" s="47">
        <f>2.33*$M$3</f>
        <v>97.13304000000001</v>
      </c>
      <c r="K370" s="7" t="s">
        <v>6</v>
      </c>
      <c r="L370" s="65"/>
      <c r="P370" s="70"/>
      <c r="Q370" s="15"/>
    </row>
    <row r="371" spans="1:17" ht="15">
      <c r="A371" s="27"/>
      <c r="B371" s="6" t="s">
        <v>404</v>
      </c>
      <c r="C371" s="2"/>
      <c r="D371" s="47">
        <f>4.5*$M$3</f>
        <v>187.596</v>
      </c>
      <c r="E371" s="7" t="s">
        <v>6</v>
      </c>
      <c r="F371" s="41"/>
      <c r="G371" s="47">
        <f>5.07*$M$3</f>
        <v>211.35816000000003</v>
      </c>
      <c r="H371" s="7" t="s">
        <v>6</v>
      </c>
      <c r="I371" s="41"/>
      <c r="J371" s="47">
        <f>5.63*$M$3</f>
        <v>234.70344</v>
      </c>
      <c r="K371" s="7" t="s">
        <v>6</v>
      </c>
      <c r="L371" s="65"/>
      <c r="P371" s="70"/>
      <c r="Q371" s="15"/>
    </row>
    <row r="372" spans="1:17" ht="15">
      <c r="A372" s="27"/>
      <c r="B372" s="6" t="s">
        <v>405</v>
      </c>
      <c r="C372" s="2"/>
      <c r="D372" s="47">
        <f>5.75*$M$3</f>
        <v>239.70600000000002</v>
      </c>
      <c r="E372" s="7" t="s">
        <v>6</v>
      </c>
      <c r="F372" s="41"/>
      <c r="G372" s="47">
        <f>6.47*$M$3</f>
        <v>269.72136</v>
      </c>
      <c r="H372" s="7" t="s">
        <v>6</v>
      </c>
      <c r="I372" s="41"/>
      <c r="J372" s="47">
        <f>7.19*$M$3</f>
        <v>299.73672000000005</v>
      </c>
      <c r="K372" s="7" t="s">
        <v>6</v>
      </c>
      <c r="L372" s="65"/>
      <c r="P372" s="70"/>
      <c r="Q372" s="15"/>
    </row>
    <row r="373" spans="1:17" ht="15">
      <c r="A373" s="27"/>
      <c r="B373" s="6" t="s">
        <v>406</v>
      </c>
      <c r="C373" s="2"/>
      <c r="D373" s="47">
        <f>3.24*$M$3</f>
        <v>135.06912000000003</v>
      </c>
      <c r="E373" s="7" t="s">
        <v>6</v>
      </c>
      <c r="F373" s="41"/>
      <c r="G373" s="47">
        <f>3.65*$M$3</f>
        <v>152.1612</v>
      </c>
      <c r="H373" s="7" t="s">
        <v>6</v>
      </c>
      <c r="I373" s="41"/>
      <c r="J373" s="47">
        <f>4.05*$M$3</f>
        <v>168.8364</v>
      </c>
      <c r="K373" s="7" t="s">
        <v>6</v>
      </c>
      <c r="L373" s="65"/>
      <c r="P373" s="70"/>
      <c r="Q373" s="15"/>
    </row>
    <row r="374" spans="1:17" ht="15">
      <c r="A374" s="27"/>
      <c r="B374" s="6" t="s">
        <v>407</v>
      </c>
      <c r="C374" s="2"/>
      <c r="D374" s="47">
        <f>3.24*$M$3</f>
        <v>135.06912000000003</v>
      </c>
      <c r="E374" s="7" t="s">
        <v>6</v>
      </c>
      <c r="F374" s="41"/>
      <c r="G374" s="47">
        <f>3.65*$M$3</f>
        <v>152.1612</v>
      </c>
      <c r="H374" s="7" t="s">
        <v>6</v>
      </c>
      <c r="I374" s="41"/>
      <c r="J374" s="47">
        <f>4.05*$M$3</f>
        <v>168.8364</v>
      </c>
      <c r="K374" s="7" t="s">
        <v>6</v>
      </c>
      <c r="L374" s="65"/>
      <c r="P374" s="70"/>
      <c r="Q374" s="15"/>
    </row>
    <row r="375" spans="1:17" ht="15">
      <c r="A375" s="27"/>
      <c r="B375" s="6" t="s">
        <v>408</v>
      </c>
      <c r="C375" s="2"/>
      <c r="D375" s="49">
        <v>242.4</v>
      </c>
      <c r="E375" s="7" t="s">
        <v>6</v>
      </c>
      <c r="F375" s="41"/>
      <c r="G375" s="49">
        <v>272.7</v>
      </c>
      <c r="H375" s="7" t="s">
        <v>6</v>
      </c>
      <c r="I375" s="41"/>
      <c r="J375" s="49">
        <v>292.9</v>
      </c>
      <c r="K375" s="7" t="s">
        <v>6</v>
      </c>
      <c r="L375" s="65"/>
      <c r="P375" s="70"/>
      <c r="Q375" s="15"/>
    </row>
    <row r="376" spans="1:17" ht="15">
      <c r="A376" s="27"/>
      <c r="B376" s="6" t="s">
        <v>409</v>
      </c>
      <c r="C376" s="2"/>
      <c r="D376" s="49">
        <v>42</v>
      </c>
      <c r="E376" s="7" t="s">
        <v>6</v>
      </c>
      <c r="F376" s="41"/>
      <c r="G376" s="49">
        <v>47.25</v>
      </c>
      <c r="H376" s="7" t="s">
        <v>6</v>
      </c>
      <c r="I376" s="41"/>
      <c r="J376" s="49">
        <v>53</v>
      </c>
      <c r="K376" s="7" t="s">
        <v>6</v>
      </c>
      <c r="L376" s="65"/>
      <c r="P376" s="70"/>
      <c r="Q376" s="15"/>
    </row>
    <row r="377" spans="1:17" ht="15">
      <c r="A377" s="27"/>
      <c r="B377" s="5" t="s">
        <v>410</v>
      </c>
      <c r="C377" s="2"/>
      <c r="D377" s="90"/>
      <c r="E377" s="90"/>
      <c r="F377" s="33"/>
      <c r="G377" s="90"/>
      <c r="H377" s="90"/>
      <c r="I377" s="34"/>
      <c r="J377" s="90"/>
      <c r="K377" s="90"/>
      <c r="L377" s="62"/>
      <c r="P377" s="86"/>
      <c r="Q377" s="86"/>
    </row>
    <row r="378" spans="1:17" ht="15">
      <c r="A378" s="27"/>
      <c r="B378" s="6" t="s">
        <v>411</v>
      </c>
      <c r="C378" s="2"/>
      <c r="D378" s="47">
        <f>7.03*$M$3</f>
        <v>293.06664</v>
      </c>
      <c r="E378" s="7" t="s">
        <v>6</v>
      </c>
      <c r="F378" s="41"/>
      <c r="G378" s="47">
        <f>7.94*$M$3</f>
        <v>331.00272</v>
      </c>
      <c r="H378" s="7" t="s">
        <v>6</v>
      </c>
      <c r="I378" s="41"/>
      <c r="J378" s="47">
        <f>8.86*$M$3</f>
        <v>369.35568</v>
      </c>
      <c r="K378" s="7" t="s">
        <v>6</v>
      </c>
      <c r="L378" s="65"/>
      <c r="P378" s="70"/>
      <c r="Q378" s="15"/>
    </row>
    <row r="379" spans="1:17" ht="15">
      <c r="A379" s="27"/>
      <c r="B379" s="6" t="s">
        <v>412</v>
      </c>
      <c r="C379" s="2"/>
      <c r="D379" s="47">
        <f>6.44*$M$3</f>
        <v>268.47072000000003</v>
      </c>
      <c r="E379" s="7" t="s">
        <v>6</v>
      </c>
      <c r="F379" s="41"/>
      <c r="G379" s="47">
        <f>7.28*$M$3</f>
        <v>303.48864000000003</v>
      </c>
      <c r="H379" s="7" t="s">
        <v>6</v>
      </c>
      <c r="I379" s="41"/>
      <c r="J379" s="47">
        <f>8.12*$M$3</f>
        <v>338.50656</v>
      </c>
      <c r="K379" s="7" t="s">
        <v>6</v>
      </c>
      <c r="L379" s="65"/>
      <c r="P379" s="70"/>
      <c r="Q379" s="15"/>
    </row>
    <row r="380" spans="1:17" ht="15">
      <c r="A380" s="27"/>
      <c r="B380" s="6" t="s">
        <v>413</v>
      </c>
      <c r="C380" s="2"/>
      <c r="D380" s="47">
        <f>4.68*$M$3</f>
        <v>195.09984</v>
      </c>
      <c r="E380" s="7" t="s">
        <v>6</v>
      </c>
      <c r="F380" s="41"/>
      <c r="G380" s="47">
        <f>5.27*$M$3</f>
        <v>219.69576</v>
      </c>
      <c r="H380" s="7" t="s">
        <v>6</v>
      </c>
      <c r="I380" s="41"/>
      <c r="J380" s="47">
        <f>5.66*$M$3</f>
        <v>235.95408000000003</v>
      </c>
      <c r="K380" s="7" t="s">
        <v>6</v>
      </c>
      <c r="L380" s="65"/>
      <c r="P380" s="70"/>
      <c r="Q380" s="15"/>
    </row>
    <row r="381" spans="1:17" ht="15">
      <c r="A381" s="27"/>
      <c r="B381" s="5" t="s">
        <v>414</v>
      </c>
      <c r="C381" s="2"/>
      <c r="D381" s="90"/>
      <c r="E381" s="90"/>
      <c r="F381" s="33"/>
      <c r="G381" s="90"/>
      <c r="H381" s="90"/>
      <c r="I381" s="34"/>
      <c r="J381" s="90"/>
      <c r="K381" s="90"/>
      <c r="L381" s="62"/>
      <c r="P381" s="86"/>
      <c r="Q381" s="86"/>
    </row>
    <row r="382" spans="1:17" ht="15">
      <c r="A382" s="27"/>
      <c r="B382" s="8" t="s">
        <v>415</v>
      </c>
      <c r="C382" s="2"/>
      <c r="D382" s="91"/>
      <c r="E382" s="91"/>
      <c r="F382" s="33"/>
      <c r="G382" s="91"/>
      <c r="H382" s="91"/>
      <c r="I382" s="34"/>
      <c r="J382" s="91"/>
      <c r="K382" s="91"/>
      <c r="L382" s="62"/>
      <c r="P382" s="86"/>
      <c r="Q382" s="86"/>
    </row>
    <row r="383" spans="1:17" ht="15">
      <c r="A383" s="27"/>
      <c r="B383" s="6" t="s">
        <v>416</v>
      </c>
      <c r="C383" s="2"/>
      <c r="D383" s="47">
        <f>6.2*$M$3</f>
        <v>258.4656</v>
      </c>
      <c r="E383" s="7" t="s">
        <v>6</v>
      </c>
      <c r="F383" s="41"/>
      <c r="G383" s="47">
        <f>6.71*$M$3</f>
        <v>279.72648000000004</v>
      </c>
      <c r="H383" s="7" t="s">
        <v>6</v>
      </c>
      <c r="I383" s="41"/>
      <c r="J383" s="47">
        <f>7.23*$M$3</f>
        <v>301.40424</v>
      </c>
      <c r="K383" s="7" t="s">
        <v>6</v>
      </c>
      <c r="L383" s="65"/>
      <c r="P383" s="70"/>
      <c r="Q383" s="15"/>
    </row>
    <row r="384" spans="1:17" ht="15">
      <c r="A384" s="27"/>
      <c r="B384" s="6" t="s">
        <v>417</v>
      </c>
      <c r="C384" s="2"/>
      <c r="D384" s="47">
        <f>12.12*$M$3</f>
        <v>505.25856</v>
      </c>
      <c r="E384" s="7" t="s">
        <v>6</v>
      </c>
      <c r="F384" s="41"/>
      <c r="G384" s="47">
        <f>13.13*$M$3</f>
        <v>547.3634400000001</v>
      </c>
      <c r="H384" s="7" t="s">
        <v>6</v>
      </c>
      <c r="I384" s="41"/>
      <c r="J384" s="47">
        <f>14.14*$M$3</f>
        <v>589.4683200000001</v>
      </c>
      <c r="K384" s="7" t="s">
        <v>6</v>
      </c>
      <c r="L384" s="65"/>
      <c r="P384" s="70"/>
      <c r="Q384" s="15"/>
    </row>
    <row r="385" spans="1:17" ht="15">
      <c r="A385" s="27"/>
      <c r="B385" s="6" t="s">
        <v>418</v>
      </c>
      <c r="C385" s="2"/>
      <c r="D385" s="47">
        <f>14.09*$M$3</f>
        <v>587.38392</v>
      </c>
      <c r="E385" s="7" t="s">
        <v>6</v>
      </c>
      <c r="F385" s="41"/>
      <c r="G385" s="47">
        <f>15.27*$M$3</f>
        <v>636.5757600000001</v>
      </c>
      <c r="H385" s="7" t="s">
        <v>6</v>
      </c>
      <c r="I385" s="41"/>
      <c r="J385" s="47">
        <f>16.44*$M$3</f>
        <v>685.3507200000001</v>
      </c>
      <c r="K385" s="7" t="s">
        <v>6</v>
      </c>
      <c r="L385" s="65"/>
      <c r="P385" s="70"/>
      <c r="Q385" s="15"/>
    </row>
    <row r="386" spans="1:17" ht="15">
      <c r="A386" s="27"/>
      <c r="B386" s="6" t="s">
        <v>419</v>
      </c>
      <c r="C386" s="2"/>
      <c r="D386" s="47">
        <f>17.6*$M$3</f>
        <v>733.7088000000001</v>
      </c>
      <c r="E386" s="7" t="s">
        <v>6</v>
      </c>
      <c r="F386" s="41"/>
      <c r="G386" s="47">
        <f>19.06*$M$3</f>
        <v>794.57328</v>
      </c>
      <c r="H386" s="7" t="s">
        <v>6</v>
      </c>
      <c r="I386" s="41"/>
      <c r="J386" s="47">
        <f>20.53*$M$3</f>
        <v>855.8546400000001</v>
      </c>
      <c r="K386" s="7" t="s">
        <v>6</v>
      </c>
      <c r="L386" s="65"/>
      <c r="P386" s="70"/>
      <c r="Q386" s="15"/>
    </row>
    <row r="387" spans="1:17" ht="15">
      <c r="A387" s="27"/>
      <c r="B387" s="6" t="s">
        <v>420</v>
      </c>
      <c r="C387" s="2"/>
      <c r="D387" s="47">
        <f>8.79*$M$3</f>
        <v>366.43752</v>
      </c>
      <c r="E387" s="7" t="s">
        <v>6</v>
      </c>
      <c r="F387" s="41"/>
      <c r="G387" s="47">
        <f>9.25*$M$3</f>
        <v>385.61400000000003</v>
      </c>
      <c r="H387" s="7" t="s">
        <v>6</v>
      </c>
      <c r="I387" s="41"/>
      <c r="J387" s="47">
        <f>10.25*$M$3</f>
        <v>427.302</v>
      </c>
      <c r="K387" s="7" t="s">
        <v>6</v>
      </c>
      <c r="L387" s="65"/>
      <c r="P387" s="70"/>
      <c r="Q387" s="15"/>
    </row>
    <row r="388" spans="1:17" ht="15">
      <c r="A388" s="27"/>
      <c r="B388" s="6" t="s">
        <v>421</v>
      </c>
      <c r="C388" s="2"/>
      <c r="D388" s="47">
        <f>23.2*$M$3</f>
        <v>967.1616</v>
      </c>
      <c r="E388" s="7" t="s">
        <v>6</v>
      </c>
      <c r="F388" s="41"/>
      <c r="G388" s="47">
        <f>25.13*$M$3</f>
        <v>1047.61944</v>
      </c>
      <c r="H388" s="7" t="s">
        <v>6</v>
      </c>
      <c r="I388" s="41"/>
      <c r="J388" s="47">
        <f>27.07*$M$3</f>
        <v>1128.49416</v>
      </c>
      <c r="K388" s="7" t="s">
        <v>6</v>
      </c>
      <c r="L388" s="65"/>
      <c r="P388" s="70"/>
      <c r="Q388" s="15"/>
    </row>
    <row r="389" spans="1:17" ht="15">
      <c r="A389" s="27"/>
      <c r="B389" s="6" t="s">
        <v>422</v>
      </c>
      <c r="C389" s="2"/>
      <c r="D389" s="47">
        <f>36.18*$M$3</f>
        <v>1508.27184</v>
      </c>
      <c r="E389" s="7" t="s">
        <v>6</v>
      </c>
      <c r="F389" s="41"/>
      <c r="G389" s="47">
        <f>39.2*$M$3</f>
        <v>1634.1696000000002</v>
      </c>
      <c r="H389" s="7" t="s">
        <v>6</v>
      </c>
      <c r="I389" s="41"/>
      <c r="J389" s="47">
        <f>42.21*$M$3</f>
        <v>1759.6504800000002</v>
      </c>
      <c r="K389" s="7" t="s">
        <v>6</v>
      </c>
      <c r="L389" s="65"/>
      <c r="P389" s="70"/>
      <c r="Q389" s="15"/>
    </row>
    <row r="390" spans="1:17" ht="15">
      <c r="A390" s="27"/>
      <c r="B390" s="8" t="s">
        <v>423</v>
      </c>
      <c r="C390" s="2"/>
      <c r="D390" s="91"/>
      <c r="E390" s="91"/>
      <c r="F390" s="33"/>
      <c r="G390" s="91"/>
      <c r="H390" s="91"/>
      <c r="I390" s="34"/>
      <c r="J390" s="91"/>
      <c r="K390" s="91"/>
      <c r="L390" s="62"/>
      <c r="P390" s="86"/>
      <c r="Q390" s="86"/>
    </row>
    <row r="391" spans="1:17" ht="15">
      <c r="A391" s="27"/>
      <c r="B391" s="6" t="s">
        <v>424</v>
      </c>
      <c r="C391" s="2"/>
      <c r="D391" s="49">
        <v>60</v>
      </c>
      <c r="E391" s="7" t="s">
        <v>6</v>
      </c>
      <c r="F391" s="41"/>
      <c r="G391" s="49">
        <v>65</v>
      </c>
      <c r="H391" s="7" t="s">
        <v>6</v>
      </c>
      <c r="I391" s="41"/>
      <c r="J391" s="49">
        <v>72</v>
      </c>
      <c r="K391" s="7" t="s">
        <v>6</v>
      </c>
      <c r="L391" s="65"/>
      <c r="P391" s="70"/>
      <c r="Q391" s="15"/>
    </row>
    <row r="392" spans="1:17" ht="15">
      <c r="A392" s="27"/>
      <c r="B392" s="6" t="s">
        <v>425</v>
      </c>
      <c r="C392" s="2"/>
      <c r="D392" s="49">
        <v>103</v>
      </c>
      <c r="E392" s="7" t="s">
        <v>6</v>
      </c>
      <c r="F392" s="41"/>
      <c r="G392" s="49">
        <v>111</v>
      </c>
      <c r="H392" s="7" t="s">
        <v>6</v>
      </c>
      <c r="I392" s="41"/>
      <c r="J392" s="49">
        <v>123</v>
      </c>
      <c r="K392" s="7" t="s">
        <v>6</v>
      </c>
      <c r="L392" s="65"/>
      <c r="P392" s="70"/>
      <c r="Q392" s="15"/>
    </row>
    <row r="393" spans="1:17" ht="15">
      <c r="A393" s="27"/>
      <c r="B393" s="6" t="s">
        <v>426</v>
      </c>
      <c r="C393" s="2"/>
      <c r="D393" s="49">
        <v>255</v>
      </c>
      <c r="E393" s="7" t="s">
        <v>6</v>
      </c>
      <c r="F393" s="41"/>
      <c r="G393" s="49">
        <v>276</v>
      </c>
      <c r="H393" s="7" t="s">
        <v>6</v>
      </c>
      <c r="I393" s="41"/>
      <c r="J393" s="49">
        <v>306</v>
      </c>
      <c r="K393" s="7" t="s">
        <v>6</v>
      </c>
      <c r="L393" s="65"/>
      <c r="P393" s="70"/>
      <c r="Q393" s="15"/>
    </row>
    <row r="394" spans="1:17" ht="15">
      <c r="A394" s="27"/>
      <c r="B394" s="6" t="s">
        <v>427</v>
      </c>
      <c r="C394" s="2"/>
      <c r="D394" s="49">
        <v>488</v>
      </c>
      <c r="E394" s="7" t="s">
        <v>6</v>
      </c>
      <c r="F394" s="41"/>
      <c r="G394" s="49">
        <v>527</v>
      </c>
      <c r="H394" s="7" t="s">
        <v>6</v>
      </c>
      <c r="I394" s="41"/>
      <c r="J394" s="49">
        <v>585</v>
      </c>
      <c r="K394" s="7" t="s">
        <v>6</v>
      </c>
      <c r="L394" s="65"/>
      <c r="P394" s="70"/>
      <c r="Q394" s="15"/>
    </row>
    <row r="395" spans="1:17" ht="15">
      <c r="A395" s="27"/>
      <c r="B395" s="3" t="s">
        <v>327</v>
      </c>
      <c r="C395" s="4"/>
      <c r="D395" s="94"/>
      <c r="E395" s="94"/>
      <c r="F395" s="55"/>
      <c r="G395" s="92"/>
      <c r="H395" s="92"/>
      <c r="I395" s="55"/>
      <c r="J395" s="92"/>
      <c r="K395" s="92"/>
      <c r="L395" s="62"/>
      <c r="P395" s="86"/>
      <c r="Q395" s="86"/>
    </row>
    <row r="396" spans="1:17" ht="15">
      <c r="A396" s="27"/>
      <c r="B396" s="5" t="s">
        <v>328</v>
      </c>
      <c r="C396" s="2"/>
      <c r="D396" s="90"/>
      <c r="E396" s="90"/>
      <c r="F396" s="33"/>
      <c r="G396" s="90"/>
      <c r="H396" s="90"/>
      <c r="I396" s="34"/>
      <c r="J396" s="90"/>
      <c r="K396" s="90"/>
      <c r="L396" s="62"/>
      <c r="P396" s="86"/>
      <c r="Q396" s="86"/>
    </row>
    <row r="397" spans="1:17" ht="15">
      <c r="A397" s="27"/>
      <c r="B397" s="8" t="s">
        <v>329</v>
      </c>
      <c r="C397" s="2"/>
      <c r="D397" s="91"/>
      <c r="E397" s="91"/>
      <c r="F397" s="33"/>
      <c r="G397" s="91"/>
      <c r="H397" s="91"/>
      <c r="I397" s="34"/>
      <c r="J397" s="91"/>
      <c r="K397" s="91"/>
      <c r="L397" s="62"/>
      <c r="P397" s="86"/>
      <c r="Q397" s="86"/>
    </row>
    <row r="398" spans="1:17" ht="15">
      <c r="A398" s="27"/>
      <c r="B398" s="6" t="s">
        <v>336</v>
      </c>
      <c r="C398" s="2"/>
      <c r="D398" s="47">
        <f>2.57*$M$3</f>
        <v>107.13816</v>
      </c>
      <c r="E398" s="7" t="s">
        <v>6</v>
      </c>
      <c r="F398" s="41"/>
      <c r="G398" s="47">
        <f>2.79*$M$3</f>
        <v>116.30952</v>
      </c>
      <c r="H398" s="7" t="s">
        <v>6</v>
      </c>
      <c r="I398" s="41"/>
      <c r="J398" s="47">
        <f>3.02*$M$3</f>
        <v>125.89776</v>
      </c>
      <c r="K398" s="7" t="s">
        <v>6</v>
      </c>
      <c r="L398" s="65"/>
      <c r="M398" s="14"/>
      <c r="N398" s="15"/>
      <c r="O398" s="16"/>
      <c r="P398" s="70"/>
      <c r="Q398" s="15"/>
    </row>
    <row r="399" spans="1:17" ht="15">
      <c r="A399" s="27"/>
      <c r="B399" s="6" t="s">
        <v>337</v>
      </c>
      <c r="C399" s="2"/>
      <c r="D399" s="47">
        <f>0.72*$M$3</f>
        <v>30.01536</v>
      </c>
      <c r="E399" s="7" t="s">
        <v>6</v>
      </c>
      <c r="F399" s="41"/>
      <c r="G399" s="47">
        <f>0.78*$M$3</f>
        <v>32.51664</v>
      </c>
      <c r="H399" s="7" t="s">
        <v>6</v>
      </c>
      <c r="I399" s="41"/>
      <c r="J399" s="47">
        <f>0.84*$M$3</f>
        <v>35.017920000000004</v>
      </c>
      <c r="K399" s="7" t="s">
        <v>6</v>
      </c>
      <c r="L399" s="65"/>
      <c r="M399" s="14"/>
      <c r="N399" s="15"/>
      <c r="O399" s="16"/>
      <c r="P399" s="70"/>
      <c r="Q399" s="15"/>
    </row>
    <row r="400" spans="1:17" ht="15">
      <c r="A400" s="27"/>
      <c r="B400" s="6" t="s">
        <v>338</v>
      </c>
      <c r="C400" s="2"/>
      <c r="D400" s="47">
        <f>2.11*$M$3</f>
        <v>87.96168</v>
      </c>
      <c r="E400" s="7" t="s">
        <v>6</v>
      </c>
      <c r="F400" s="41"/>
      <c r="G400" s="47">
        <f>2.29*$M$3</f>
        <v>95.46552000000001</v>
      </c>
      <c r="H400" s="7" t="s">
        <v>6</v>
      </c>
      <c r="I400" s="41"/>
      <c r="J400" s="47">
        <f>2.48*$M$3</f>
        <v>103.38624</v>
      </c>
      <c r="K400" s="7" t="s">
        <v>6</v>
      </c>
      <c r="L400" s="65"/>
      <c r="M400" s="14"/>
      <c r="N400" s="15"/>
      <c r="O400" s="16"/>
      <c r="P400" s="70"/>
      <c r="Q400" s="15"/>
    </row>
    <row r="401" spans="1:17" ht="15">
      <c r="A401" s="27"/>
      <c r="B401" s="6" t="s">
        <v>339</v>
      </c>
      <c r="C401" s="2"/>
      <c r="D401" s="47">
        <f>0.97*$M$3</f>
        <v>40.43736</v>
      </c>
      <c r="E401" s="7" t="s">
        <v>6</v>
      </c>
      <c r="F401" s="41"/>
      <c r="G401" s="47">
        <f>1.05*$M$3</f>
        <v>43.772400000000005</v>
      </c>
      <c r="H401" s="7" t="s">
        <v>6</v>
      </c>
      <c r="I401" s="41"/>
      <c r="J401" s="47">
        <f>1.14*$M$3</f>
        <v>47.524319999999996</v>
      </c>
      <c r="K401" s="7" t="s">
        <v>6</v>
      </c>
      <c r="L401" s="65"/>
      <c r="M401" s="14"/>
      <c r="N401" s="15"/>
      <c r="O401" s="16"/>
      <c r="P401" s="70"/>
      <c r="Q401" s="15"/>
    </row>
    <row r="402" spans="1:17" ht="15">
      <c r="A402" s="27"/>
      <c r="B402" s="6" t="s">
        <v>340</v>
      </c>
      <c r="C402" s="2"/>
      <c r="D402" s="47">
        <f>1.48*$M$3</f>
        <v>61.698240000000006</v>
      </c>
      <c r="E402" s="7" t="s">
        <v>6</v>
      </c>
      <c r="F402" s="41"/>
      <c r="G402" s="47">
        <f>1.6*$M$3</f>
        <v>66.7008</v>
      </c>
      <c r="H402" s="7" t="s">
        <v>6</v>
      </c>
      <c r="I402" s="41"/>
      <c r="J402" s="47">
        <f>1.73*$M$3</f>
        <v>72.12024000000001</v>
      </c>
      <c r="K402" s="7" t="s">
        <v>6</v>
      </c>
      <c r="L402" s="65"/>
      <c r="M402" s="14"/>
      <c r="N402" s="15"/>
      <c r="O402" s="16"/>
      <c r="P402" s="70"/>
      <c r="Q402" s="15"/>
    </row>
    <row r="403" spans="1:17" ht="15">
      <c r="A403" s="27"/>
      <c r="B403" s="6" t="s">
        <v>330</v>
      </c>
      <c r="C403" s="2"/>
      <c r="D403" s="47">
        <f>2.06*$M$3</f>
        <v>85.87728000000001</v>
      </c>
      <c r="E403" s="7" t="s">
        <v>6</v>
      </c>
      <c r="F403" s="41"/>
      <c r="G403" s="47">
        <f>2.24*$M$3</f>
        <v>93.38112000000001</v>
      </c>
      <c r="H403" s="7" t="s">
        <v>6</v>
      </c>
      <c r="I403" s="41"/>
      <c r="J403" s="47">
        <f>2.43*$M$3</f>
        <v>101.30184000000001</v>
      </c>
      <c r="K403" s="7" t="s">
        <v>6</v>
      </c>
      <c r="L403" s="65"/>
      <c r="M403" s="14"/>
      <c r="N403" s="15"/>
      <c r="O403" s="16"/>
      <c r="P403" s="70"/>
      <c r="Q403" s="15"/>
    </row>
    <row r="404" spans="1:17" ht="15">
      <c r="A404" s="27"/>
      <c r="B404" s="6" t="s">
        <v>331</v>
      </c>
      <c r="C404" s="2"/>
      <c r="D404" s="47">
        <f>2.04*$M$3</f>
        <v>85.04352</v>
      </c>
      <c r="E404" s="7" t="s">
        <v>6</v>
      </c>
      <c r="F404" s="41"/>
      <c r="G404" s="47">
        <f>2.22*$M$3</f>
        <v>92.54736000000001</v>
      </c>
      <c r="H404" s="7" t="s">
        <v>6</v>
      </c>
      <c r="I404" s="41"/>
      <c r="J404" s="47">
        <f>2.4*$M$3</f>
        <v>100.05120000000001</v>
      </c>
      <c r="K404" s="7" t="s">
        <v>6</v>
      </c>
      <c r="L404" s="65"/>
      <c r="M404" s="14"/>
      <c r="N404" s="15"/>
      <c r="O404" s="16"/>
      <c r="P404" s="70"/>
      <c r="Q404" s="15"/>
    </row>
    <row r="405" spans="1:17" ht="15">
      <c r="A405" s="27"/>
      <c r="B405" s="6" t="s">
        <v>332</v>
      </c>
      <c r="C405" s="2"/>
      <c r="D405" s="47">
        <f>2.11*$M$3</f>
        <v>87.96168</v>
      </c>
      <c r="E405" s="7" t="s">
        <v>6</v>
      </c>
      <c r="F405" s="41"/>
      <c r="G405" s="47">
        <f>2.29*$M$3</f>
        <v>95.46552000000001</v>
      </c>
      <c r="H405" s="7" t="s">
        <v>6</v>
      </c>
      <c r="I405" s="41"/>
      <c r="J405" s="47">
        <f>2.48*$M$3</f>
        <v>103.38624</v>
      </c>
      <c r="K405" s="7" t="s">
        <v>6</v>
      </c>
      <c r="L405" s="65"/>
      <c r="M405" s="14"/>
      <c r="N405" s="15"/>
      <c r="O405" s="16"/>
      <c r="P405" s="70"/>
      <c r="Q405" s="15"/>
    </row>
    <row r="406" spans="1:17" ht="15">
      <c r="A406" s="27"/>
      <c r="B406" s="6" t="s">
        <v>333</v>
      </c>
      <c r="C406" s="2"/>
      <c r="D406" s="47">
        <f>2.01*$M$3</f>
        <v>83.79288</v>
      </c>
      <c r="E406" s="7" t="s">
        <v>6</v>
      </c>
      <c r="F406" s="41"/>
      <c r="G406" s="47">
        <f>2.18*$M$3</f>
        <v>90.87984000000002</v>
      </c>
      <c r="H406" s="7" t="s">
        <v>6</v>
      </c>
      <c r="I406" s="41"/>
      <c r="J406" s="47">
        <f>2.36*$M$3</f>
        <v>98.38368</v>
      </c>
      <c r="K406" s="7" t="s">
        <v>6</v>
      </c>
      <c r="L406" s="65"/>
      <c r="M406" s="14"/>
      <c r="N406" s="15"/>
      <c r="O406" s="16"/>
      <c r="P406" s="70"/>
      <c r="Q406" s="15"/>
    </row>
    <row r="407" spans="1:17" ht="15">
      <c r="A407" s="27"/>
      <c r="B407" s="6" t="s">
        <v>334</v>
      </c>
      <c r="C407" s="2"/>
      <c r="D407" s="47">
        <f>3.49*$M$3</f>
        <v>145.49112000000002</v>
      </c>
      <c r="E407" s="7" t="s">
        <v>6</v>
      </c>
      <c r="F407" s="41"/>
      <c r="G407" s="47">
        <f>3.79*$M$3</f>
        <v>157.99752</v>
      </c>
      <c r="H407" s="7" t="s">
        <v>6</v>
      </c>
      <c r="I407" s="41"/>
      <c r="J407" s="47">
        <f>4.1*$M$3</f>
        <v>170.92079999999999</v>
      </c>
      <c r="K407" s="7" t="s">
        <v>6</v>
      </c>
      <c r="L407" s="65"/>
      <c r="M407" s="14"/>
      <c r="N407" s="15"/>
      <c r="O407" s="16"/>
      <c r="P407" s="70"/>
      <c r="Q407" s="15"/>
    </row>
    <row r="408" spans="1:17" ht="15">
      <c r="A408" s="27"/>
      <c r="B408" s="6" t="s">
        <v>335</v>
      </c>
      <c r="C408" s="2"/>
      <c r="D408" s="47">
        <f>0.09*$M$3</f>
        <v>3.75192</v>
      </c>
      <c r="E408" s="7" t="s">
        <v>6</v>
      </c>
      <c r="F408" s="41"/>
      <c r="G408" s="47">
        <f>0.1*$M$3</f>
        <v>4.1688</v>
      </c>
      <c r="H408" s="7" t="s">
        <v>6</v>
      </c>
      <c r="I408" s="41"/>
      <c r="J408" s="47">
        <f>0.11*$M$3</f>
        <v>4.58568</v>
      </c>
      <c r="K408" s="7" t="s">
        <v>6</v>
      </c>
      <c r="L408" s="65"/>
      <c r="M408" s="14"/>
      <c r="N408" s="15"/>
      <c r="O408" s="16"/>
      <c r="P408" s="70"/>
      <c r="Q408" s="15"/>
    </row>
    <row r="409" spans="1:17" ht="15">
      <c r="A409" s="27"/>
      <c r="B409" s="6" t="s">
        <v>341</v>
      </c>
      <c r="C409" s="2"/>
      <c r="D409" s="47">
        <f>0.17*$M$3</f>
        <v>7.086960000000001</v>
      </c>
      <c r="E409" s="7" t="s">
        <v>6</v>
      </c>
      <c r="F409" s="41"/>
      <c r="G409" s="47">
        <f>0.19*$M$3</f>
        <v>7.92072</v>
      </c>
      <c r="H409" s="7" t="s">
        <v>6</v>
      </c>
      <c r="I409" s="41"/>
      <c r="J409" s="47">
        <f>0.21*$M$3</f>
        <v>8.754480000000001</v>
      </c>
      <c r="K409" s="7" t="s">
        <v>6</v>
      </c>
      <c r="L409" s="65"/>
      <c r="M409" s="14"/>
      <c r="N409" s="15"/>
      <c r="O409" s="16"/>
      <c r="P409" s="70"/>
      <c r="Q409" s="15"/>
    </row>
    <row r="410" spans="1:17" ht="15">
      <c r="A410" s="27"/>
      <c r="B410" s="6" t="s">
        <v>342</v>
      </c>
      <c r="C410" s="2"/>
      <c r="D410" s="47">
        <f>0.23*$M$3</f>
        <v>9.58824</v>
      </c>
      <c r="E410" s="7" t="s">
        <v>6</v>
      </c>
      <c r="F410" s="41"/>
      <c r="G410" s="47">
        <f>0.26*$M$3</f>
        <v>10.838880000000001</v>
      </c>
      <c r="H410" s="7" t="s">
        <v>6</v>
      </c>
      <c r="I410" s="41"/>
      <c r="J410" s="47">
        <f>0.29*$M$3</f>
        <v>12.08952</v>
      </c>
      <c r="K410" s="7" t="s">
        <v>6</v>
      </c>
      <c r="L410" s="65"/>
      <c r="P410" s="70"/>
      <c r="Q410" s="15"/>
    </row>
    <row r="411" spans="1:17" ht="15">
      <c r="A411" s="27"/>
      <c r="B411" s="6" t="s">
        <v>343</v>
      </c>
      <c r="C411" s="2"/>
      <c r="D411" s="47">
        <f>0.27*$M$3</f>
        <v>11.255760000000002</v>
      </c>
      <c r="E411" s="7" t="s">
        <v>6</v>
      </c>
      <c r="F411" s="41"/>
      <c r="G411" s="47">
        <f>0.29*$M$3</f>
        <v>12.08952</v>
      </c>
      <c r="H411" s="7" t="s">
        <v>6</v>
      </c>
      <c r="I411" s="41"/>
      <c r="J411" s="47">
        <f>0.32*$M$3</f>
        <v>13.340160000000001</v>
      </c>
      <c r="K411" s="7" t="s">
        <v>6</v>
      </c>
      <c r="L411" s="65"/>
      <c r="P411" s="70"/>
      <c r="Q411" s="15"/>
    </row>
    <row r="412" spans="1:17" ht="15">
      <c r="A412" s="27"/>
      <c r="B412" s="6" t="s">
        <v>344</v>
      </c>
      <c r="C412" s="2"/>
      <c r="D412" s="47">
        <f>0.27*$M$3</f>
        <v>11.255760000000002</v>
      </c>
      <c r="E412" s="7" t="s">
        <v>6</v>
      </c>
      <c r="F412" s="41"/>
      <c r="G412" s="47">
        <f>0.29*$M$3</f>
        <v>12.08952</v>
      </c>
      <c r="H412" s="7" t="s">
        <v>6</v>
      </c>
      <c r="I412" s="41"/>
      <c r="J412" s="47">
        <f>0.32*$M$3</f>
        <v>13.340160000000001</v>
      </c>
      <c r="K412" s="7" t="s">
        <v>6</v>
      </c>
      <c r="L412" s="65"/>
      <c r="P412" s="70"/>
      <c r="Q412" s="15"/>
    </row>
    <row r="413" spans="1:17" ht="15">
      <c r="A413" s="27"/>
      <c r="B413" s="8" t="s">
        <v>345</v>
      </c>
      <c r="C413" s="2"/>
      <c r="D413" s="91"/>
      <c r="E413" s="91"/>
      <c r="F413" s="33"/>
      <c r="G413" s="91"/>
      <c r="H413" s="91"/>
      <c r="I413" s="34"/>
      <c r="J413" s="91"/>
      <c r="K413" s="91"/>
      <c r="L413" s="62"/>
      <c r="P413" s="86"/>
      <c r="Q413" s="86"/>
    </row>
    <row r="414" spans="1:17" ht="15">
      <c r="A414" s="27"/>
      <c r="B414" s="6" t="s">
        <v>346</v>
      </c>
      <c r="C414" s="2"/>
      <c r="D414" s="47">
        <f>5.04*$M$3</f>
        <v>210.10752000000002</v>
      </c>
      <c r="E414" s="7" t="s">
        <v>6</v>
      </c>
      <c r="F414" s="41"/>
      <c r="G414" s="47">
        <f>5.42*$M$3</f>
        <v>225.94896</v>
      </c>
      <c r="H414" s="7" t="s">
        <v>6</v>
      </c>
      <c r="I414" s="41"/>
      <c r="J414" s="47">
        <f>5.81*$M$3</f>
        <v>242.20728</v>
      </c>
      <c r="K414" s="7" t="s">
        <v>6</v>
      </c>
      <c r="L414" s="65"/>
      <c r="P414" s="70"/>
      <c r="Q414" s="15"/>
    </row>
    <row r="415" spans="1:17" ht="15">
      <c r="A415" s="27"/>
      <c r="B415" s="6" t="s">
        <v>347</v>
      </c>
      <c r="C415" s="2"/>
      <c r="D415" s="47">
        <f>5.27*$M$3</f>
        <v>219.69576</v>
      </c>
      <c r="E415" s="7" t="s">
        <v>6</v>
      </c>
      <c r="F415" s="41"/>
      <c r="G415" s="47">
        <f>5.67*$M$3</f>
        <v>236.37096</v>
      </c>
      <c r="H415" s="7" t="s">
        <v>6</v>
      </c>
      <c r="I415" s="41"/>
      <c r="J415" s="47">
        <f>6.08*$M$3</f>
        <v>253.46304</v>
      </c>
      <c r="K415" s="7" t="s">
        <v>6</v>
      </c>
      <c r="L415" s="65"/>
      <c r="P415" s="70"/>
      <c r="Q415" s="15"/>
    </row>
    <row r="416" spans="1:17" ht="15">
      <c r="A416" s="27"/>
      <c r="B416" s="6" t="s">
        <v>348</v>
      </c>
      <c r="C416" s="2"/>
      <c r="D416" s="47">
        <f>5.96*$M$3</f>
        <v>248.46048000000002</v>
      </c>
      <c r="E416" s="7" t="s">
        <v>6</v>
      </c>
      <c r="F416" s="41"/>
      <c r="G416" s="47">
        <f>6.42*$M$3</f>
        <v>267.63696</v>
      </c>
      <c r="H416" s="7" t="s">
        <v>6</v>
      </c>
      <c r="I416" s="41"/>
      <c r="J416" s="47">
        <f>6.87*$M$3</f>
        <v>286.39656</v>
      </c>
      <c r="K416" s="7" t="s">
        <v>6</v>
      </c>
      <c r="L416" s="65"/>
      <c r="P416" s="70"/>
      <c r="Q416" s="15"/>
    </row>
    <row r="417" spans="1:17" ht="15">
      <c r="A417" s="27"/>
      <c r="B417" s="6" t="s">
        <v>349</v>
      </c>
      <c r="C417" s="2"/>
      <c r="D417" s="51">
        <f>1.46*$M$2</f>
        <v>44.7636</v>
      </c>
      <c r="E417" s="7" t="s">
        <v>6</v>
      </c>
      <c r="F417" s="41"/>
      <c r="G417" s="51">
        <f>1.65*$M$2</f>
        <v>50.589</v>
      </c>
      <c r="H417" s="7" t="s">
        <v>6</v>
      </c>
      <c r="I417" s="41"/>
      <c r="J417" s="51">
        <f>1.84*$M$2</f>
        <v>56.4144</v>
      </c>
      <c r="K417" s="7" t="s">
        <v>6</v>
      </c>
      <c r="L417" s="65"/>
      <c r="P417" s="70"/>
      <c r="Q417" s="15"/>
    </row>
    <row r="418" spans="1:17" ht="15">
      <c r="A418" s="27"/>
      <c r="B418" s="8" t="s">
        <v>350</v>
      </c>
      <c r="C418" s="2"/>
      <c r="D418" s="91"/>
      <c r="E418" s="91"/>
      <c r="F418" s="33"/>
      <c r="G418" s="91"/>
      <c r="H418" s="91"/>
      <c r="I418" s="34"/>
      <c r="J418" s="91"/>
      <c r="K418" s="91"/>
      <c r="L418" s="62"/>
      <c r="P418" s="86"/>
      <c r="Q418" s="86"/>
    </row>
    <row r="419" spans="1:17" ht="15">
      <c r="A419" s="27"/>
      <c r="B419" s="6" t="s">
        <v>351</v>
      </c>
      <c r="C419" s="2"/>
      <c r="D419" s="47">
        <f>2.06*$M$3</f>
        <v>85.87728000000001</v>
      </c>
      <c r="E419" s="7" t="s">
        <v>6</v>
      </c>
      <c r="F419" s="41"/>
      <c r="G419" s="47">
        <f>2.22*$M$3</f>
        <v>92.54736000000001</v>
      </c>
      <c r="H419" s="7" t="s">
        <v>6</v>
      </c>
      <c r="I419" s="41"/>
      <c r="J419" s="47">
        <f>2.37*$M$3</f>
        <v>98.80056</v>
      </c>
      <c r="K419" s="7" t="s">
        <v>6</v>
      </c>
      <c r="L419" s="65"/>
      <c r="P419" s="70"/>
      <c r="Q419" s="15"/>
    </row>
    <row r="420" spans="1:17" ht="15">
      <c r="A420" s="27"/>
      <c r="B420" s="6" t="s">
        <v>352</v>
      </c>
      <c r="C420" s="2"/>
      <c r="D420" s="47">
        <f>2.06*$M$3</f>
        <v>85.87728000000001</v>
      </c>
      <c r="E420" s="7" t="s">
        <v>6</v>
      </c>
      <c r="F420" s="41"/>
      <c r="G420" s="47">
        <f>2.22*$M$3</f>
        <v>92.54736000000001</v>
      </c>
      <c r="H420" s="7" t="s">
        <v>6</v>
      </c>
      <c r="I420" s="41"/>
      <c r="J420" s="47">
        <f>2.37*$M$3</f>
        <v>98.80056</v>
      </c>
      <c r="K420" s="7" t="s">
        <v>6</v>
      </c>
      <c r="L420" s="65"/>
      <c r="P420" s="70"/>
      <c r="Q420" s="15"/>
    </row>
    <row r="421" spans="1:17" ht="15">
      <c r="A421" s="27"/>
      <c r="B421" s="6" t="s">
        <v>353</v>
      </c>
      <c r="C421" s="2"/>
      <c r="D421" s="47">
        <f>0.07*$M$3</f>
        <v>2.9181600000000003</v>
      </c>
      <c r="E421" s="7" t="s">
        <v>6</v>
      </c>
      <c r="F421" s="41"/>
      <c r="G421" s="47">
        <f>0.07*$M$3</f>
        <v>2.9181600000000003</v>
      </c>
      <c r="H421" s="7" t="s">
        <v>6</v>
      </c>
      <c r="I421" s="41"/>
      <c r="J421" s="47">
        <f>0.08*$M$3</f>
        <v>3.3350400000000002</v>
      </c>
      <c r="K421" s="7" t="s">
        <v>6</v>
      </c>
      <c r="L421" s="65"/>
      <c r="P421" s="70"/>
      <c r="Q421" s="15"/>
    </row>
    <row r="422" spans="1:17" ht="15">
      <c r="A422" s="27"/>
      <c r="B422" s="6" t="s">
        <v>354</v>
      </c>
      <c r="C422" s="2"/>
      <c r="D422" s="47">
        <f>1.75*$M$3</f>
        <v>72.95400000000001</v>
      </c>
      <c r="E422" s="7" t="s">
        <v>6</v>
      </c>
      <c r="F422" s="41"/>
      <c r="G422" s="47">
        <f>1.88*$M$3</f>
        <v>78.37344</v>
      </c>
      <c r="H422" s="7" t="s">
        <v>6</v>
      </c>
      <c r="I422" s="41"/>
      <c r="J422" s="47">
        <f>2.01*$M$3</f>
        <v>83.79288</v>
      </c>
      <c r="K422" s="7" t="s">
        <v>6</v>
      </c>
      <c r="L422" s="65"/>
      <c r="P422" s="70"/>
      <c r="Q422" s="15"/>
    </row>
    <row r="423" spans="1:17" ht="15">
      <c r="A423" s="27"/>
      <c r="B423" s="6" t="s">
        <v>355</v>
      </c>
      <c r="C423" s="2"/>
      <c r="D423" s="47">
        <f>1.51*$M$3</f>
        <v>62.94888</v>
      </c>
      <c r="E423" s="7" t="s">
        <v>6</v>
      </c>
      <c r="F423" s="41"/>
      <c r="G423" s="47">
        <f>1.63*$M$3</f>
        <v>67.95144</v>
      </c>
      <c r="H423" s="7" t="s">
        <v>6</v>
      </c>
      <c r="I423" s="41"/>
      <c r="J423" s="47">
        <f>1.74*$M$3</f>
        <v>72.53712</v>
      </c>
      <c r="K423" s="7" t="s">
        <v>6</v>
      </c>
      <c r="L423" s="65"/>
      <c r="P423" s="70"/>
      <c r="Q423" s="15"/>
    </row>
    <row r="424" spans="1:17" ht="15">
      <c r="A424" s="27"/>
      <c r="B424" s="6" t="s">
        <v>356</v>
      </c>
      <c r="C424" s="2"/>
      <c r="D424" s="47">
        <f>1.51*$M$3</f>
        <v>62.94888</v>
      </c>
      <c r="E424" s="7" t="s">
        <v>6</v>
      </c>
      <c r="F424" s="41"/>
      <c r="G424" s="47">
        <f>1.63*$M$3</f>
        <v>67.95144</v>
      </c>
      <c r="H424" s="7" t="s">
        <v>6</v>
      </c>
      <c r="I424" s="41"/>
      <c r="J424" s="47">
        <f>1.74*$M$3</f>
        <v>72.53712</v>
      </c>
      <c r="K424" s="7" t="s">
        <v>6</v>
      </c>
      <c r="L424" s="65"/>
      <c r="P424" s="70"/>
      <c r="Q424" s="15"/>
    </row>
    <row r="425" spans="1:17" ht="15">
      <c r="A425" s="27"/>
      <c r="B425" s="6" t="s">
        <v>357</v>
      </c>
      <c r="C425" s="2"/>
      <c r="D425" s="47">
        <f>1.51*$M$3</f>
        <v>62.94888</v>
      </c>
      <c r="E425" s="7" t="s">
        <v>6</v>
      </c>
      <c r="F425" s="41"/>
      <c r="G425" s="47">
        <f>1.63*$M$3</f>
        <v>67.95144</v>
      </c>
      <c r="H425" s="7" t="s">
        <v>6</v>
      </c>
      <c r="I425" s="41"/>
      <c r="J425" s="47">
        <f>1.74*$M$3</f>
        <v>72.53712</v>
      </c>
      <c r="K425" s="7" t="s">
        <v>6</v>
      </c>
      <c r="L425" s="65"/>
      <c r="P425" s="70"/>
      <c r="Q425" s="15"/>
    </row>
    <row r="426" spans="1:17" ht="15">
      <c r="A426" s="27"/>
      <c r="B426" s="6" t="s">
        <v>358</v>
      </c>
      <c r="C426" s="2"/>
      <c r="D426" s="47">
        <f>0.32*$M$3</f>
        <v>13.340160000000001</v>
      </c>
      <c r="E426" s="7" t="s">
        <v>6</v>
      </c>
      <c r="F426" s="41"/>
      <c r="G426" s="47">
        <f>0.36*$M$3</f>
        <v>15.00768</v>
      </c>
      <c r="H426" s="7" t="s">
        <v>6</v>
      </c>
      <c r="I426" s="41"/>
      <c r="J426" s="47">
        <f>0.4*$M$3</f>
        <v>16.6752</v>
      </c>
      <c r="K426" s="7" t="s">
        <v>6</v>
      </c>
      <c r="L426" s="65"/>
      <c r="P426" s="70"/>
      <c r="Q426" s="15"/>
    </row>
    <row r="427" spans="1:17" ht="15">
      <c r="A427" s="27"/>
      <c r="B427" s="6" t="s">
        <v>359</v>
      </c>
      <c r="C427" s="2"/>
      <c r="D427" s="47">
        <f>0.2*$M$3</f>
        <v>8.3376</v>
      </c>
      <c r="E427" s="7" t="s">
        <v>6</v>
      </c>
      <c r="F427" s="41"/>
      <c r="G427" s="47">
        <f>0.22*$M$3</f>
        <v>9.17136</v>
      </c>
      <c r="H427" s="7" t="s">
        <v>6</v>
      </c>
      <c r="I427" s="41"/>
      <c r="J427" s="47">
        <f>0.25*$M$3</f>
        <v>10.422</v>
      </c>
      <c r="K427" s="7" t="s">
        <v>6</v>
      </c>
      <c r="L427" s="65"/>
      <c r="P427" s="70"/>
      <c r="Q427" s="15"/>
    </row>
    <row r="428" spans="1:17" ht="15">
      <c r="A428" s="27"/>
      <c r="B428" s="8" t="s">
        <v>360</v>
      </c>
      <c r="C428" s="2"/>
      <c r="D428" s="91"/>
      <c r="E428" s="91"/>
      <c r="F428" s="33"/>
      <c r="G428" s="91"/>
      <c r="H428" s="91"/>
      <c r="I428" s="34"/>
      <c r="J428" s="91"/>
      <c r="K428" s="91"/>
      <c r="L428" s="62"/>
      <c r="P428" s="86"/>
      <c r="Q428" s="86"/>
    </row>
    <row r="429" spans="1:17" ht="15">
      <c r="A429" s="27"/>
      <c r="B429" s="6" t="s">
        <v>361</v>
      </c>
      <c r="C429" s="2"/>
      <c r="D429" s="47">
        <f>3.53*$M$3</f>
        <v>147.15864</v>
      </c>
      <c r="E429" s="7" t="s">
        <v>6</v>
      </c>
      <c r="F429" s="41"/>
      <c r="G429" s="47">
        <f>3.8*$M$3</f>
        <v>158.4144</v>
      </c>
      <c r="H429" s="7" t="s">
        <v>6</v>
      </c>
      <c r="I429" s="41"/>
      <c r="J429" s="47">
        <f>4.07*$M$3</f>
        <v>169.67016</v>
      </c>
      <c r="K429" s="7" t="s">
        <v>6</v>
      </c>
      <c r="L429" s="65"/>
      <c r="P429" s="70"/>
      <c r="Q429" s="15"/>
    </row>
    <row r="430" spans="1:17" ht="15">
      <c r="A430" s="27"/>
      <c r="B430" s="6" t="s">
        <v>362</v>
      </c>
      <c r="C430" s="2"/>
      <c r="D430" s="47">
        <f>3.64*$M$3</f>
        <v>151.74432000000002</v>
      </c>
      <c r="E430" s="7" t="s">
        <v>6</v>
      </c>
      <c r="F430" s="41"/>
      <c r="G430" s="47">
        <f>3.92*$M$3</f>
        <v>163.41696000000002</v>
      </c>
      <c r="H430" s="7" t="s">
        <v>6</v>
      </c>
      <c r="I430" s="41"/>
      <c r="J430" s="47">
        <f>4.2*$M$3</f>
        <v>175.08960000000002</v>
      </c>
      <c r="K430" s="7" t="s">
        <v>6</v>
      </c>
      <c r="L430" s="65"/>
      <c r="P430" s="70"/>
      <c r="Q430" s="15"/>
    </row>
    <row r="431" spans="1:17" ht="15">
      <c r="A431" s="27"/>
      <c r="B431" s="8" t="s">
        <v>363</v>
      </c>
      <c r="C431" s="2"/>
      <c r="D431" s="91"/>
      <c r="E431" s="91"/>
      <c r="F431" s="33"/>
      <c r="G431" s="91"/>
      <c r="H431" s="91"/>
      <c r="I431" s="34"/>
      <c r="J431" s="91"/>
      <c r="K431" s="91"/>
      <c r="L431" s="62"/>
      <c r="P431" s="86"/>
      <c r="Q431" s="86"/>
    </row>
    <row r="432" spans="1:17" ht="15">
      <c r="A432" s="27"/>
      <c r="B432" s="6" t="s">
        <v>364</v>
      </c>
      <c r="C432" s="2"/>
      <c r="D432" s="51">
        <f>3.12*$M$2</f>
        <v>95.6592</v>
      </c>
      <c r="E432" s="7" t="s">
        <v>6</v>
      </c>
      <c r="F432" s="41"/>
      <c r="G432" s="51">
        <f>3.51*$M$2</f>
        <v>107.61659999999999</v>
      </c>
      <c r="H432" s="7" t="s">
        <v>6</v>
      </c>
      <c r="I432" s="41"/>
      <c r="J432" s="51">
        <f>3.9*$M$2</f>
        <v>119.574</v>
      </c>
      <c r="K432" s="7" t="s">
        <v>6</v>
      </c>
      <c r="L432" s="65"/>
      <c r="P432" s="70"/>
      <c r="Q432" s="15"/>
    </row>
    <row r="433" spans="1:17" ht="15">
      <c r="A433" s="27"/>
      <c r="B433" s="6" t="s">
        <v>365</v>
      </c>
      <c r="C433" s="2"/>
      <c r="D433" s="51">
        <f>4*$M$2</f>
        <v>122.64</v>
      </c>
      <c r="E433" s="7" t="s">
        <v>6</v>
      </c>
      <c r="F433" s="41"/>
      <c r="G433" s="51">
        <f>4.5*$M$2</f>
        <v>137.97</v>
      </c>
      <c r="H433" s="7" t="s">
        <v>6</v>
      </c>
      <c r="I433" s="41"/>
      <c r="J433" s="51">
        <f>5*$M$2</f>
        <v>153.3</v>
      </c>
      <c r="K433" s="7" t="s">
        <v>6</v>
      </c>
      <c r="L433" s="65"/>
      <c r="P433" s="70"/>
      <c r="Q433" s="15"/>
    </row>
    <row r="434" spans="1:17" ht="15">
      <c r="A434" s="27"/>
      <c r="B434" s="5" t="s">
        <v>366</v>
      </c>
      <c r="C434" s="2"/>
      <c r="D434" s="90"/>
      <c r="E434" s="90"/>
      <c r="F434" s="33"/>
      <c r="G434" s="90"/>
      <c r="H434" s="90"/>
      <c r="I434" s="34"/>
      <c r="J434" s="90"/>
      <c r="K434" s="90"/>
      <c r="L434" s="62"/>
      <c r="P434" s="86"/>
      <c r="Q434" s="86"/>
    </row>
    <row r="435" spans="1:17" ht="15">
      <c r="A435" s="27"/>
      <c r="B435" s="8" t="s">
        <v>367</v>
      </c>
      <c r="C435" s="2"/>
      <c r="D435" s="91"/>
      <c r="E435" s="91"/>
      <c r="F435" s="33"/>
      <c r="G435" s="91"/>
      <c r="H435" s="91"/>
      <c r="I435" s="34"/>
      <c r="J435" s="91"/>
      <c r="K435" s="91"/>
      <c r="L435" s="62"/>
      <c r="P435" s="86"/>
      <c r="Q435" s="86"/>
    </row>
    <row r="436" spans="1:17" ht="15">
      <c r="A436" s="27"/>
      <c r="B436" s="6" t="s">
        <v>368</v>
      </c>
      <c r="C436" s="2"/>
      <c r="D436" s="47">
        <f>2.69*$M$3</f>
        <v>112.14072</v>
      </c>
      <c r="E436" s="7" t="s">
        <v>6</v>
      </c>
      <c r="F436" s="41"/>
      <c r="G436" s="47">
        <f>2.93*$M$3</f>
        <v>122.14584</v>
      </c>
      <c r="H436" s="7" t="s">
        <v>6</v>
      </c>
      <c r="I436" s="41"/>
      <c r="J436" s="47">
        <f>3.17*$M$3</f>
        <v>132.15096</v>
      </c>
      <c r="K436" s="7" t="s">
        <v>6</v>
      </c>
      <c r="L436" s="65"/>
      <c r="P436" s="70"/>
      <c r="Q436" s="15"/>
    </row>
    <row r="437" spans="1:17" ht="15">
      <c r="A437" s="27"/>
      <c r="B437" s="6" t="s">
        <v>369</v>
      </c>
      <c r="C437" s="2"/>
      <c r="D437" s="47">
        <f>2.72*$M$3</f>
        <v>113.39136000000002</v>
      </c>
      <c r="E437" s="7" t="s">
        <v>6</v>
      </c>
      <c r="F437" s="41"/>
      <c r="G437" s="47">
        <f>2.96*$M$3</f>
        <v>123.39648000000001</v>
      </c>
      <c r="H437" s="7" t="s">
        <v>6</v>
      </c>
      <c r="I437" s="41"/>
      <c r="J437" s="47">
        <f>3.2*$M$3</f>
        <v>133.4016</v>
      </c>
      <c r="K437" s="7" t="s">
        <v>6</v>
      </c>
      <c r="L437" s="65"/>
      <c r="P437" s="70"/>
      <c r="Q437" s="15"/>
    </row>
    <row r="438" spans="1:17" ht="15">
      <c r="A438" s="27"/>
      <c r="B438" s="6" t="s">
        <v>370</v>
      </c>
      <c r="C438" s="2"/>
      <c r="D438" s="47">
        <f>2.72*$M$3</f>
        <v>113.39136000000002</v>
      </c>
      <c r="E438" s="7" t="s">
        <v>6</v>
      </c>
      <c r="F438" s="41"/>
      <c r="G438" s="47">
        <f>2.96*$M$3</f>
        <v>123.39648000000001</v>
      </c>
      <c r="H438" s="7" t="s">
        <v>6</v>
      </c>
      <c r="I438" s="41"/>
      <c r="J438" s="47">
        <f>3.2*$M$3</f>
        <v>133.4016</v>
      </c>
      <c r="K438" s="7" t="s">
        <v>6</v>
      </c>
      <c r="L438" s="65"/>
      <c r="P438" s="70"/>
      <c r="Q438" s="15"/>
    </row>
    <row r="439" spans="1:17" ht="15">
      <c r="A439" s="27"/>
      <c r="B439" s="6" t="s">
        <v>490</v>
      </c>
      <c r="C439" s="2"/>
      <c r="D439" s="51">
        <f>3.94*$M$2</f>
        <v>120.8004</v>
      </c>
      <c r="E439" s="7" t="s">
        <v>6</v>
      </c>
      <c r="F439" s="41"/>
      <c r="G439" s="51">
        <f>4.25*$M$2</f>
        <v>130.305</v>
      </c>
      <c r="H439" s="7" t="s">
        <v>6</v>
      </c>
      <c r="I439" s="41"/>
      <c r="J439" s="51">
        <f>4.55*$M$2</f>
        <v>139.503</v>
      </c>
      <c r="K439" s="7" t="s">
        <v>6</v>
      </c>
      <c r="L439" s="65"/>
      <c r="P439" s="70"/>
      <c r="Q439" s="15"/>
    </row>
    <row r="440" spans="1:17" ht="15">
      <c r="A440" s="27"/>
      <c r="B440" s="6" t="s">
        <v>491</v>
      </c>
      <c r="C440" s="2"/>
      <c r="D440" s="51">
        <f>5.27*$M$2</f>
        <v>161.57819999999998</v>
      </c>
      <c r="E440" s="7" t="s">
        <v>6</v>
      </c>
      <c r="F440" s="41"/>
      <c r="G440" s="51">
        <f>5.67*$M$2</f>
        <v>173.8422</v>
      </c>
      <c r="H440" s="7" t="s">
        <v>6</v>
      </c>
      <c r="I440" s="41"/>
      <c r="J440" s="51">
        <f>6.08*$M$2</f>
        <v>186.4128</v>
      </c>
      <c r="K440" s="7" t="s">
        <v>6</v>
      </c>
      <c r="L440" s="65"/>
      <c r="P440" s="70"/>
      <c r="Q440" s="15"/>
    </row>
    <row r="441" spans="1:17" ht="15">
      <c r="A441" s="27"/>
      <c r="B441" s="8" t="s">
        <v>371</v>
      </c>
      <c r="C441" s="2"/>
      <c r="D441" s="91"/>
      <c r="E441" s="91"/>
      <c r="F441" s="33"/>
      <c r="G441" s="91"/>
      <c r="H441" s="91"/>
      <c r="I441" s="34"/>
      <c r="J441" s="91"/>
      <c r="K441" s="91"/>
      <c r="L441" s="62"/>
      <c r="P441" s="86"/>
      <c r="Q441" s="86"/>
    </row>
    <row r="442" spans="1:17" ht="15">
      <c r="A442" s="27"/>
      <c r="B442" s="6" t="s">
        <v>372</v>
      </c>
      <c r="C442" s="2"/>
      <c r="D442" s="47">
        <f>9.94*$M$3</f>
        <v>414.37872</v>
      </c>
      <c r="E442" s="7" t="s">
        <v>6</v>
      </c>
      <c r="F442" s="41"/>
      <c r="G442" s="47">
        <f>10.77*$M$3</f>
        <v>448.97976</v>
      </c>
      <c r="H442" s="7" t="s">
        <v>6</v>
      </c>
      <c r="I442" s="41"/>
      <c r="J442" s="47">
        <f>11.6*$M$3</f>
        <v>483.5808</v>
      </c>
      <c r="K442" s="7" t="s">
        <v>6</v>
      </c>
      <c r="L442" s="65"/>
      <c r="P442" s="70"/>
      <c r="Q442" s="15"/>
    </row>
    <row r="443" spans="1:17" ht="15">
      <c r="A443" s="27"/>
      <c r="B443" s="6" t="s">
        <v>373</v>
      </c>
      <c r="C443" s="2"/>
      <c r="D443" s="47">
        <f>10.47*$M$3</f>
        <v>436.47336000000007</v>
      </c>
      <c r="E443" s="7" t="s">
        <v>6</v>
      </c>
      <c r="F443" s="41"/>
      <c r="G443" s="47">
        <f>11.34*$M$3</f>
        <v>472.74192</v>
      </c>
      <c r="H443" s="7" t="s">
        <v>6</v>
      </c>
      <c r="I443" s="41"/>
      <c r="J443" s="47">
        <f>12.21*$M$3</f>
        <v>509.0104800000001</v>
      </c>
      <c r="K443" s="7" t="s">
        <v>6</v>
      </c>
      <c r="L443" s="65"/>
      <c r="P443" s="70"/>
      <c r="Q443" s="15"/>
    </row>
    <row r="444" spans="1:17" ht="15">
      <c r="A444" s="27"/>
      <c r="B444" s="6" t="s">
        <v>493</v>
      </c>
      <c r="C444" s="2"/>
      <c r="D444" s="47">
        <f>31.31*$M$3</f>
        <v>1305.25128</v>
      </c>
      <c r="E444" s="7" t="s">
        <v>6</v>
      </c>
      <c r="F444" s="41"/>
      <c r="G444" s="47">
        <f>33.92*$M$3</f>
        <v>1414.0569600000001</v>
      </c>
      <c r="H444" s="7" t="s">
        <v>6</v>
      </c>
      <c r="I444" s="41"/>
      <c r="J444" s="47">
        <f>36.53*$M$3</f>
        <v>1522.86264</v>
      </c>
      <c r="K444" s="7" t="s">
        <v>6</v>
      </c>
      <c r="L444" s="65"/>
      <c r="P444" s="70"/>
      <c r="Q444" s="15"/>
    </row>
    <row r="445" spans="1:17" ht="15">
      <c r="A445" s="27"/>
      <c r="B445" s="6" t="s">
        <v>492</v>
      </c>
      <c r="C445" s="2"/>
      <c r="D445" s="47">
        <f>35.49*$M$3</f>
        <v>1479.5071200000002</v>
      </c>
      <c r="E445" s="7" t="s">
        <v>6</v>
      </c>
      <c r="F445" s="41"/>
      <c r="G445" s="47">
        <f>38.45*$M$3</f>
        <v>1602.9036</v>
      </c>
      <c r="H445" s="7" t="s">
        <v>6</v>
      </c>
      <c r="I445" s="41"/>
      <c r="J445" s="47">
        <f>41.4*$M$3</f>
        <v>1725.8832</v>
      </c>
      <c r="K445" s="7" t="s">
        <v>6</v>
      </c>
      <c r="L445" s="65"/>
      <c r="P445" s="70"/>
      <c r="Q445" s="15"/>
    </row>
    <row r="446" spans="1:17" ht="15">
      <c r="A446" s="27"/>
      <c r="B446" s="5" t="s">
        <v>374</v>
      </c>
      <c r="C446" s="2"/>
      <c r="D446" s="90"/>
      <c r="E446" s="90"/>
      <c r="F446" s="33"/>
      <c r="G446" s="90"/>
      <c r="H446" s="90"/>
      <c r="I446" s="34"/>
      <c r="J446" s="90"/>
      <c r="K446" s="90"/>
      <c r="L446" s="62"/>
      <c r="P446" s="86"/>
      <c r="Q446" s="86"/>
    </row>
    <row r="447" spans="1:17" ht="15">
      <c r="A447" s="27"/>
      <c r="B447" s="8" t="s">
        <v>375</v>
      </c>
      <c r="C447" s="2"/>
      <c r="D447" s="91"/>
      <c r="E447" s="91"/>
      <c r="F447" s="34"/>
      <c r="G447" s="91"/>
      <c r="H447" s="91"/>
      <c r="I447" s="34"/>
      <c r="J447" s="91"/>
      <c r="K447" s="91"/>
      <c r="L447" s="62"/>
      <c r="P447" s="86"/>
      <c r="Q447" s="86"/>
    </row>
    <row r="448" spans="1:17" ht="15">
      <c r="A448" s="27"/>
      <c r="B448" s="6" t="s">
        <v>376</v>
      </c>
      <c r="C448" s="2"/>
      <c r="D448" s="51">
        <f>25.4*$M$2</f>
        <v>778.764</v>
      </c>
      <c r="E448" s="7" t="s">
        <v>6</v>
      </c>
      <c r="F448" s="41"/>
      <c r="G448" s="51">
        <f>24.05*$M$2</f>
        <v>737.373</v>
      </c>
      <c r="H448" s="7" t="s">
        <v>6</v>
      </c>
      <c r="I448" s="41"/>
      <c r="J448" s="51">
        <f>24.05*$M$2</f>
        <v>737.373</v>
      </c>
      <c r="K448" s="7" t="s">
        <v>6</v>
      </c>
      <c r="L448" s="65"/>
      <c r="P448" s="70"/>
      <c r="Q448" s="15"/>
    </row>
    <row r="449" spans="1:17" ht="15">
      <c r="A449" s="27"/>
      <c r="B449" s="6" t="s">
        <v>377</v>
      </c>
      <c r="C449" s="2"/>
      <c r="D449" s="51">
        <f>42.7*$M$2</f>
        <v>1309.182</v>
      </c>
      <c r="E449" s="7" t="s">
        <v>6</v>
      </c>
      <c r="F449" s="41"/>
      <c r="G449" s="51">
        <f>40.43*$M$2</f>
        <v>1239.5838</v>
      </c>
      <c r="H449" s="7" t="s">
        <v>6</v>
      </c>
      <c r="I449" s="41"/>
      <c r="J449" s="51">
        <f>40.43*$M$2</f>
        <v>1239.5838</v>
      </c>
      <c r="K449" s="7" t="s">
        <v>6</v>
      </c>
      <c r="L449" s="65"/>
      <c r="P449" s="70"/>
      <c r="Q449" s="15"/>
    </row>
    <row r="450" spans="1:17" ht="15">
      <c r="A450" s="27"/>
      <c r="B450" s="6" t="s">
        <v>378</v>
      </c>
      <c r="C450" s="2"/>
      <c r="D450" s="51">
        <f>56.12*$M$2</f>
        <v>1720.6391999999998</v>
      </c>
      <c r="E450" s="7" t="s">
        <v>6</v>
      </c>
      <c r="F450" s="41"/>
      <c r="G450" s="51">
        <f>53.14*$M$2</f>
        <v>1629.2724</v>
      </c>
      <c r="H450" s="7" t="s">
        <v>6</v>
      </c>
      <c r="I450" s="41"/>
      <c r="J450" s="51">
        <f>53.14*$M$2</f>
        <v>1629.2724</v>
      </c>
      <c r="K450" s="7" t="s">
        <v>6</v>
      </c>
      <c r="L450" s="65"/>
      <c r="P450" s="70"/>
      <c r="Q450" s="15"/>
    </row>
    <row r="451" spans="1:17" ht="15">
      <c r="A451" s="27"/>
      <c r="B451" s="6" t="s">
        <v>379</v>
      </c>
      <c r="C451" s="2"/>
      <c r="D451" s="51">
        <f>21.25*$M$2</f>
        <v>651.525</v>
      </c>
      <c r="E451" s="7" t="s">
        <v>6</v>
      </c>
      <c r="F451" s="41"/>
      <c r="G451" s="51">
        <f>23.13*$M$2</f>
        <v>709.1658</v>
      </c>
      <c r="H451" s="7" t="s">
        <v>6</v>
      </c>
      <c r="I451" s="41"/>
      <c r="J451" s="51">
        <f>25.01*$M$2</f>
        <v>766.8066</v>
      </c>
      <c r="K451" s="7" t="s">
        <v>6</v>
      </c>
      <c r="L451" s="65"/>
      <c r="P451" s="70"/>
      <c r="Q451" s="15"/>
    </row>
    <row r="452" spans="1:17" ht="15">
      <c r="A452" s="27"/>
      <c r="B452" s="6" t="s">
        <v>380</v>
      </c>
      <c r="C452" s="2"/>
      <c r="D452" s="51">
        <f>35.17*$M$2</f>
        <v>1078.3122</v>
      </c>
      <c r="E452" s="7" t="s">
        <v>6</v>
      </c>
      <c r="F452" s="41"/>
      <c r="G452" s="51">
        <f>38.28*$M$2</f>
        <v>1173.6648</v>
      </c>
      <c r="H452" s="7" t="s">
        <v>6</v>
      </c>
      <c r="I452" s="41"/>
      <c r="J452" s="51">
        <f>41.39*$M$2</f>
        <v>1269.0174</v>
      </c>
      <c r="K452" s="7" t="s">
        <v>6</v>
      </c>
      <c r="L452" s="65"/>
      <c r="P452" s="70"/>
      <c r="Q452" s="15"/>
    </row>
    <row r="453" spans="1:17" ht="15">
      <c r="A453" s="27"/>
      <c r="B453" s="6" t="s">
        <v>381</v>
      </c>
      <c r="C453" s="2"/>
      <c r="D453" s="51">
        <f>50.62*$M$2</f>
        <v>1552.0092</v>
      </c>
      <c r="E453" s="7" t="s">
        <v>6</v>
      </c>
      <c r="F453" s="41"/>
      <c r="G453" s="51">
        <f>55.1*$M$2</f>
        <v>1689.366</v>
      </c>
      <c r="H453" s="7" t="s">
        <v>6</v>
      </c>
      <c r="I453" s="41"/>
      <c r="J453" s="51">
        <f>59.58*$M$2</f>
        <v>1826.7228</v>
      </c>
      <c r="K453" s="7" t="s">
        <v>6</v>
      </c>
      <c r="L453" s="65"/>
      <c r="P453" s="70"/>
      <c r="Q453" s="15"/>
    </row>
    <row r="454" spans="1:17" ht="15">
      <c r="A454" s="27"/>
      <c r="B454" s="6" t="s">
        <v>382</v>
      </c>
      <c r="C454" s="2"/>
      <c r="D454" s="51">
        <f>56.11*$M$2</f>
        <v>1720.3326</v>
      </c>
      <c r="E454" s="7" t="s">
        <v>6</v>
      </c>
      <c r="F454" s="41"/>
      <c r="G454" s="51">
        <f>61.07*$M$2</f>
        <v>1872.4062000000001</v>
      </c>
      <c r="H454" s="7" t="s">
        <v>6</v>
      </c>
      <c r="I454" s="41"/>
      <c r="J454" s="51">
        <f>68.39*$M$2</f>
        <v>2096.8374</v>
      </c>
      <c r="K454" s="7" t="s">
        <v>6</v>
      </c>
      <c r="L454" s="65"/>
      <c r="P454" s="70"/>
      <c r="Q454" s="15"/>
    </row>
    <row r="455" spans="1:17" ht="15">
      <c r="A455" s="27"/>
      <c r="B455" s="6" t="s">
        <v>383</v>
      </c>
      <c r="C455" s="2"/>
      <c r="D455" s="51">
        <f>64.18*$M$2</f>
        <v>1967.7588000000003</v>
      </c>
      <c r="E455" s="7" t="s">
        <v>6</v>
      </c>
      <c r="F455" s="41"/>
      <c r="G455" s="51">
        <f>71.7*$M$2</f>
        <v>2198.322</v>
      </c>
      <c r="H455" s="7" t="s">
        <v>6</v>
      </c>
      <c r="I455" s="41"/>
      <c r="J455" s="51">
        <f>79.18*$M$2</f>
        <v>2427.6588</v>
      </c>
      <c r="K455" s="7" t="s">
        <v>6</v>
      </c>
      <c r="L455" s="65"/>
      <c r="P455" s="70"/>
      <c r="Q455" s="15"/>
    </row>
    <row r="456" spans="1:17" ht="15">
      <c r="A456" s="27"/>
      <c r="B456" s="6" t="s">
        <v>384</v>
      </c>
      <c r="C456" s="2"/>
      <c r="D456" s="51">
        <f>35.24*$M$2</f>
        <v>1080.4584</v>
      </c>
      <c r="E456" s="7" t="s">
        <v>6</v>
      </c>
      <c r="F456" s="41"/>
      <c r="G456" s="51">
        <f>38.36*$M$2</f>
        <v>1176.1176</v>
      </c>
      <c r="H456" s="7" t="s">
        <v>6</v>
      </c>
      <c r="I456" s="41"/>
      <c r="J456" s="51">
        <f>41.47*$M$2</f>
        <v>1271.4702</v>
      </c>
      <c r="K456" s="7" t="s">
        <v>6</v>
      </c>
      <c r="L456" s="65"/>
      <c r="P456" s="70"/>
      <c r="Q456" s="15"/>
    </row>
    <row r="457" spans="1:17" ht="15">
      <c r="A457" s="27"/>
      <c r="B457" s="8" t="s">
        <v>385</v>
      </c>
      <c r="C457" s="2"/>
      <c r="D457" s="91"/>
      <c r="E457" s="91"/>
      <c r="F457" s="33"/>
      <c r="G457" s="91"/>
      <c r="H457" s="91"/>
      <c r="I457" s="34"/>
      <c r="J457" s="91"/>
      <c r="K457" s="91"/>
      <c r="L457" s="62"/>
      <c r="P457" s="86"/>
      <c r="Q457" s="86"/>
    </row>
    <row r="458" spans="1:17" ht="15">
      <c r="A458" s="27"/>
      <c r="B458" s="6" t="s">
        <v>386</v>
      </c>
      <c r="C458" s="2"/>
      <c r="D458" s="51">
        <f>0.95*$M$2</f>
        <v>29.127</v>
      </c>
      <c r="E458" s="7" t="s">
        <v>6</v>
      </c>
      <c r="F458" s="41"/>
      <c r="G458" s="51">
        <f>1.03*$M$2</f>
        <v>31.579800000000002</v>
      </c>
      <c r="H458" s="7" t="s">
        <v>6</v>
      </c>
      <c r="I458" s="41"/>
      <c r="J458" s="51">
        <f>1.12*$M$2</f>
        <v>34.339200000000005</v>
      </c>
      <c r="K458" s="7" t="s">
        <v>6</v>
      </c>
      <c r="L458" s="65"/>
      <c r="P458" s="70"/>
      <c r="Q458" s="15"/>
    </row>
    <row r="459" spans="1:17" ht="15">
      <c r="A459" s="27"/>
      <c r="B459" s="6" t="s">
        <v>519</v>
      </c>
      <c r="C459" s="2"/>
      <c r="D459" s="51">
        <f>0.92*$M$2</f>
        <v>28.2072</v>
      </c>
      <c r="E459" s="7" t="s">
        <v>6</v>
      </c>
      <c r="F459" s="41"/>
      <c r="G459" s="51">
        <f>0.99*$M$2</f>
        <v>30.3534</v>
      </c>
      <c r="H459" s="7" t="s">
        <v>6</v>
      </c>
      <c r="I459" s="41"/>
      <c r="J459" s="51">
        <f>1.08*$M$2</f>
        <v>33.1128</v>
      </c>
      <c r="K459" s="7"/>
      <c r="L459" s="65"/>
      <c r="P459" s="70"/>
      <c r="Q459" s="15"/>
    </row>
    <row r="460" spans="1:17" ht="15">
      <c r="A460" s="27"/>
      <c r="B460" s="6" t="s">
        <v>520</v>
      </c>
      <c r="C460" s="2"/>
      <c r="D460" s="51">
        <f>1.09*$M$2</f>
        <v>33.4194</v>
      </c>
      <c r="E460" s="7" t="s">
        <v>6</v>
      </c>
      <c r="F460" s="41"/>
      <c r="G460" s="51">
        <f>1.18*$M$2</f>
        <v>36.178799999999995</v>
      </c>
      <c r="H460" s="7" t="s">
        <v>6</v>
      </c>
      <c r="I460" s="41"/>
      <c r="J460" s="51">
        <f>1.28*$M$2</f>
        <v>39.2448</v>
      </c>
      <c r="K460" s="7" t="s">
        <v>6</v>
      </c>
      <c r="L460" s="65"/>
      <c r="P460" s="70"/>
      <c r="Q460" s="15"/>
    </row>
    <row r="461" spans="1:17" ht="15">
      <c r="A461" s="27"/>
      <c r="B461" s="6" t="s">
        <v>387</v>
      </c>
      <c r="C461" s="2"/>
      <c r="D461" s="51">
        <f>1.38*$M$2</f>
        <v>42.3108</v>
      </c>
      <c r="E461" s="7" t="s">
        <v>6</v>
      </c>
      <c r="F461" s="41"/>
      <c r="G461" s="51">
        <f>1.48*$M$2</f>
        <v>45.3768</v>
      </c>
      <c r="H461" s="7" t="s">
        <v>6</v>
      </c>
      <c r="I461" s="41"/>
      <c r="J461" s="51">
        <f>1.6*$M$2</f>
        <v>49.056000000000004</v>
      </c>
      <c r="K461" s="7" t="s">
        <v>6</v>
      </c>
      <c r="L461" s="65"/>
      <c r="P461" s="70"/>
      <c r="Q461" s="15"/>
    </row>
    <row r="462" spans="1:17" ht="15">
      <c r="A462" s="27"/>
      <c r="B462" s="8" t="s">
        <v>523</v>
      </c>
      <c r="C462" s="2"/>
      <c r="D462" s="91"/>
      <c r="E462" s="91"/>
      <c r="F462" s="33"/>
      <c r="G462" s="91"/>
      <c r="H462" s="91"/>
      <c r="I462" s="34"/>
      <c r="J462" s="91"/>
      <c r="K462" s="91"/>
      <c r="L462" s="62"/>
      <c r="P462" s="86"/>
      <c r="Q462" s="86"/>
    </row>
    <row r="463" spans="1:17" ht="15">
      <c r="A463" s="27"/>
      <c r="B463" s="6" t="s">
        <v>388</v>
      </c>
      <c r="C463" s="2"/>
      <c r="D463" s="51">
        <f>3.49*$M$2</f>
        <v>107.00340000000001</v>
      </c>
      <c r="E463" s="7" t="s">
        <v>6</v>
      </c>
      <c r="F463" s="41"/>
      <c r="G463" s="51">
        <f>3.79*$M$2</f>
        <v>116.2014</v>
      </c>
      <c r="H463" s="7" t="s">
        <v>6</v>
      </c>
      <c r="I463" s="41"/>
      <c r="J463" s="51">
        <f>4.1*$M$2</f>
        <v>125.70599999999999</v>
      </c>
      <c r="K463" s="7" t="s">
        <v>6</v>
      </c>
      <c r="L463" s="65"/>
      <c r="P463" s="70"/>
      <c r="Q463" s="15"/>
    </row>
    <row r="464" spans="1:17" ht="15">
      <c r="A464" s="27"/>
      <c r="B464" s="6" t="s">
        <v>522</v>
      </c>
      <c r="C464" s="2"/>
      <c r="D464" s="51">
        <f>5.31*$M$2</f>
        <v>162.8046</v>
      </c>
      <c r="E464" s="7" t="s">
        <v>6</v>
      </c>
      <c r="F464" s="41"/>
      <c r="G464" s="51">
        <f>5.79*$M$2</f>
        <v>177.5214</v>
      </c>
      <c r="H464" s="7" t="s">
        <v>6</v>
      </c>
      <c r="I464" s="41"/>
      <c r="J464" s="51">
        <f>6.25*$M$2</f>
        <v>191.625</v>
      </c>
      <c r="K464" s="7" t="s">
        <v>6</v>
      </c>
      <c r="L464" s="65"/>
      <c r="P464" s="70"/>
      <c r="Q464" s="15"/>
    </row>
    <row r="465" spans="1:17" ht="15">
      <c r="A465" s="27"/>
      <c r="B465" s="6" t="s">
        <v>521</v>
      </c>
      <c r="C465" s="2"/>
      <c r="D465" s="51">
        <f>87.93*$M$2</f>
        <v>2695.9338000000002</v>
      </c>
      <c r="E465" s="7" t="s">
        <v>6</v>
      </c>
      <c r="F465" s="41"/>
      <c r="G465" s="51">
        <f>95.71*$M$2</f>
        <v>2934.4685999999997</v>
      </c>
      <c r="H465" s="7" t="s">
        <v>6</v>
      </c>
      <c r="I465" s="41"/>
      <c r="J465" s="51">
        <f>103.49*$M$2</f>
        <v>3173.0034</v>
      </c>
      <c r="K465" s="7" t="s">
        <v>6</v>
      </c>
      <c r="L465" s="65"/>
      <c r="P465" s="70"/>
      <c r="Q465" s="15"/>
    </row>
    <row r="466" spans="1:17" ht="15">
      <c r="A466" s="27"/>
      <c r="B466" s="5" t="s">
        <v>389</v>
      </c>
      <c r="C466" s="2"/>
      <c r="D466" s="90"/>
      <c r="E466" s="90"/>
      <c r="F466" s="33"/>
      <c r="G466" s="90"/>
      <c r="H466" s="90"/>
      <c r="I466" s="34"/>
      <c r="J466" s="90"/>
      <c r="K466" s="90"/>
      <c r="L466" s="62"/>
      <c r="P466" s="86"/>
      <c r="Q466" s="86"/>
    </row>
    <row r="467" spans="1:17" ht="15">
      <c r="A467" s="27"/>
      <c r="B467" s="6" t="s">
        <v>390</v>
      </c>
      <c r="C467" s="2"/>
      <c r="D467" s="49">
        <v>156.17</v>
      </c>
      <c r="E467" s="7" t="s">
        <v>6</v>
      </c>
      <c r="F467" s="41"/>
      <c r="G467" s="49">
        <v>167.33</v>
      </c>
      <c r="H467" s="7" t="s">
        <v>6</v>
      </c>
      <c r="I467" s="41"/>
      <c r="J467" s="49">
        <v>185.29</v>
      </c>
      <c r="K467" s="7" t="s">
        <v>6</v>
      </c>
      <c r="L467" s="65"/>
      <c r="P467" s="70"/>
      <c r="Q467" s="15"/>
    </row>
    <row r="468" spans="1:17" ht="15">
      <c r="A468" s="27"/>
      <c r="B468" s="3" t="s">
        <v>391</v>
      </c>
      <c r="C468" s="4"/>
      <c r="D468" s="94"/>
      <c r="E468" s="94"/>
      <c r="F468" s="55"/>
      <c r="G468" s="92"/>
      <c r="H468" s="92"/>
      <c r="I468" s="55"/>
      <c r="J468" s="92"/>
      <c r="K468" s="92"/>
      <c r="L468" s="62"/>
      <c r="P468" s="86"/>
      <c r="Q468" s="86"/>
    </row>
    <row r="469" spans="1:17" ht="15">
      <c r="A469" s="27"/>
      <c r="B469" s="5" t="s">
        <v>392</v>
      </c>
      <c r="C469" s="2"/>
      <c r="D469" s="90"/>
      <c r="E469" s="90"/>
      <c r="F469" s="33"/>
      <c r="G469" s="90"/>
      <c r="H469" s="90"/>
      <c r="I469" s="34"/>
      <c r="J469" s="90"/>
      <c r="K469" s="90"/>
      <c r="L469" s="62"/>
      <c r="P469" s="86"/>
      <c r="Q469" s="86"/>
    </row>
    <row r="470" spans="1:17" ht="15">
      <c r="A470" s="27"/>
      <c r="B470" s="6" t="s">
        <v>393</v>
      </c>
      <c r="C470" s="2"/>
      <c r="D470" s="49">
        <v>1274.08</v>
      </c>
      <c r="E470" s="7" t="s">
        <v>6</v>
      </c>
      <c r="F470" s="41"/>
      <c r="G470" s="49">
        <v>1386.83</v>
      </c>
      <c r="H470" s="7" t="s">
        <v>6</v>
      </c>
      <c r="I470" s="41"/>
      <c r="J470" s="49">
        <v>1465.75</v>
      </c>
      <c r="K470" s="7" t="s">
        <v>6</v>
      </c>
      <c r="L470" s="65"/>
      <c r="P470" s="70"/>
      <c r="Q470" s="15"/>
    </row>
    <row r="471" spans="1:17" ht="15">
      <c r="A471" s="27"/>
      <c r="B471" s="5" t="s">
        <v>394</v>
      </c>
      <c r="C471" s="2"/>
      <c r="D471" s="90"/>
      <c r="E471" s="90"/>
      <c r="F471" s="33"/>
      <c r="G471" s="90"/>
      <c r="H471" s="90"/>
      <c r="I471" s="34"/>
      <c r="J471" s="90"/>
      <c r="K471" s="90"/>
      <c r="L471" s="62"/>
      <c r="P471" s="86"/>
      <c r="Q471" s="86"/>
    </row>
    <row r="472" spans="1:17" ht="15">
      <c r="A472" s="27"/>
      <c r="B472" s="6" t="s">
        <v>395</v>
      </c>
      <c r="C472" s="2"/>
      <c r="D472" s="49">
        <v>621.5</v>
      </c>
      <c r="E472" s="7" t="s">
        <v>6</v>
      </c>
      <c r="F472" s="41"/>
      <c r="G472" s="49">
        <v>676.5</v>
      </c>
      <c r="H472" s="7" t="s">
        <v>6</v>
      </c>
      <c r="I472" s="41"/>
      <c r="J472" s="49">
        <v>704</v>
      </c>
      <c r="K472" s="7" t="s">
        <v>6</v>
      </c>
      <c r="L472" s="65"/>
      <c r="P472" s="70"/>
      <c r="Q472" s="15"/>
    </row>
    <row r="473" spans="1:17" ht="15">
      <c r="A473" s="27"/>
      <c r="B473" s="5" t="s">
        <v>396</v>
      </c>
      <c r="C473" s="2"/>
      <c r="D473" s="90"/>
      <c r="E473" s="90"/>
      <c r="F473" s="33"/>
      <c r="G473" s="90"/>
      <c r="H473" s="90"/>
      <c r="I473" s="34"/>
      <c r="J473" s="90"/>
      <c r="K473" s="90"/>
      <c r="L473" s="62"/>
      <c r="P473" s="86"/>
      <c r="Q473" s="86"/>
    </row>
    <row r="474" spans="1:17" ht="15">
      <c r="A474" s="27"/>
      <c r="B474" s="6" t="s">
        <v>397</v>
      </c>
      <c r="C474" s="2"/>
      <c r="D474" s="49">
        <v>621.5</v>
      </c>
      <c r="E474" s="7" t="s">
        <v>6</v>
      </c>
      <c r="F474" s="41"/>
      <c r="G474" s="49">
        <v>676.5</v>
      </c>
      <c r="H474" s="7" t="s">
        <v>6</v>
      </c>
      <c r="I474" s="41"/>
      <c r="J474" s="49">
        <v>704</v>
      </c>
      <c r="K474" s="7" t="s">
        <v>6</v>
      </c>
      <c r="L474" s="65"/>
      <c r="P474" s="70"/>
      <c r="Q474" s="15"/>
    </row>
    <row r="475" spans="1:17" ht="15">
      <c r="A475" s="27"/>
      <c r="B475" s="5" t="s">
        <v>398</v>
      </c>
      <c r="C475" s="2"/>
      <c r="D475" s="90"/>
      <c r="E475" s="90"/>
      <c r="F475" s="33"/>
      <c r="G475" s="90"/>
      <c r="H475" s="90"/>
      <c r="I475" s="34"/>
      <c r="J475" s="90"/>
      <c r="K475" s="90"/>
      <c r="L475" s="62"/>
      <c r="P475" s="86"/>
      <c r="Q475" s="86"/>
    </row>
    <row r="476" spans="1:17" ht="15">
      <c r="A476" s="27"/>
      <c r="B476" s="6" t="s">
        <v>399</v>
      </c>
      <c r="C476" s="2"/>
      <c r="D476" s="49">
        <v>528.28</v>
      </c>
      <c r="E476" s="7" t="s">
        <v>6</v>
      </c>
      <c r="F476" s="41"/>
      <c r="G476" s="49">
        <v>575.03</v>
      </c>
      <c r="H476" s="7" t="s">
        <v>6</v>
      </c>
      <c r="I476" s="41"/>
      <c r="J476" s="49">
        <v>598.4</v>
      </c>
      <c r="K476" s="7" t="s">
        <v>6</v>
      </c>
      <c r="L476" s="65"/>
      <c r="P476" s="70"/>
      <c r="Q476" s="15"/>
    </row>
    <row r="477" ht="15">
      <c r="F477" s="57"/>
    </row>
    <row r="478" ht="15">
      <c r="F478" s="57"/>
    </row>
    <row r="479" ht="15">
      <c r="F479" s="57"/>
    </row>
    <row r="480" spans="6:13" ht="15">
      <c r="F480" s="57"/>
      <c r="I480" s="57"/>
      <c r="J480" s="69"/>
      <c r="K480" s="57"/>
      <c r="L480" s="57"/>
      <c r="M480" s="57"/>
    </row>
    <row r="481" spans="6:13" ht="15">
      <c r="F481" s="57"/>
      <c r="I481" s="57"/>
      <c r="J481" s="69"/>
      <c r="K481" s="57"/>
      <c r="L481" s="57"/>
      <c r="M481" s="57"/>
    </row>
    <row r="482" spans="6:13" ht="15">
      <c r="F482" s="57"/>
      <c r="I482" s="57"/>
      <c r="J482" s="69"/>
      <c r="K482" s="57"/>
      <c r="L482" s="57"/>
      <c r="M482" s="57"/>
    </row>
    <row r="483" spans="6:13" ht="15">
      <c r="F483" s="57"/>
      <c r="I483" s="57"/>
      <c r="J483" s="69"/>
      <c r="K483" s="57"/>
      <c r="L483" s="57"/>
      <c r="M483" s="57"/>
    </row>
    <row r="484" spans="6:13" ht="15">
      <c r="F484" s="57"/>
      <c r="I484" s="57"/>
      <c r="J484" s="69"/>
      <c r="K484" s="57"/>
      <c r="L484" s="57"/>
      <c r="M484" s="57"/>
    </row>
    <row r="485" spans="6:13" ht="15">
      <c r="F485" s="57"/>
      <c r="I485" s="57"/>
      <c r="J485" s="69"/>
      <c r="K485" s="57"/>
      <c r="L485" s="57"/>
      <c r="M485" s="57"/>
    </row>
    <row r="486" spans="6:13" ht="15">
      <c r="F486" s="57"/>
      <c r="I486" s="57"/>
      <c r="J486" s="69"/>
      <c r="K486" s="57"/>
      <c r="L486" s="57"/>
      <c r="M486" s="57"/>
    </row>
    <row r="487" spans="6:13" ht="15">
      <c r="F487" s="57"/>
      <c r="I487" s="57"/>
      <c r="J487" s="69"/>
      <c r="K487" s="57"/>
      <c r="L487" s="57"/>
      <c r="M487" s="57"/>
    </row>
    <row r="488" spans="6:13" ht="15">
      <c r="F488" s="57"/>
      <c r="I488" s="57"/>
      <c r="J488" s="69"/>
      <c r="K488" s="57"/>
      <c r="L488" s="57"/>
      <c r="M488" s="57"/>
    </row>
    <row r="489" spans="6:13" ht="15">
      <c r="F489" s="57"/>
      <c r="I489" s="57"/>
      <c r="J489" s="69"/>
      <c r="K489" s="57"/>
      <c r="L489" s="57"/>
      <c r="M489" s="57"/>
    </row>
    <row r="490" spans="6:13" ht="15">
      <c r="F490" s="57"/>
      <c r="I490" s="57"/>
      <c r="J490" s="69"/>
      <c r="K490" s="57"/>
      <c r="L490" s="57"/>
      <c r="M490" s="57"/>
    </row>
    <row r="491" spans="6:13" ht="15">
      <c r="F491" s="57"/>
      <c r="I491" s="57"/>
      <c r="J491" s="69"/>
      <c r="K491" s="57"/>
      <c r="L491" s="57"/>
      <c r="M491" s="57"/>
    </row>
    <row r="492" spans="6:13" ht="15">
      <c r="F492" s="57"/>
      <c r="I492" s="57"/>
      <c r="J492" s="69"/>
      <c r="K492" s="57"/>
      <c r="L492" s="57"/>
      <c r="M492" s="57"/>
    </row>
    <row r="493" spans="6:13" ht="15">
      <c r="F493" s="57"/>
      <c r="I493" s="57"/>
      <c r="J493" s="69"/>
      <c r="K493" s="57"/>
      <c r="L493" s="57"/>
      <c r="M493" s="57"/>
    </row>
    <row r="494" spans="6:13" ht="15">
      <c r="F494" s="57"/>
      <c r="I494" s="57"/>
      <c r="J494" s="69"/>
      <c r="K494" s="57"/>
      <c r="L494" s="57"/>
      <c r="M494" s="57"/>
    </row>
    <row r="495" spans="6:13" ht="15">
      <c r="F495" s="57"/>
      <c r="I495" s="57"/>
      <c r="J495" s="69"/>
      <c r="K495" s="57"/>
      <c r="L495" s="57"/>
      <c r="M495" s="57"/>
    </row>
    <row r="496" spans="6:13" ht="15">
      <c r="F496" s="57"/>
      <c r="I496" s="57"/>
      <c r="J496" s="69"/>
      <c r="K496" s="57"/>
      <c r="L496" s="57"/>
      <c r="M496" s="57"/>
    </row>
    <row r="497" spans="6:13" ht="15">
      <c r="F497" s="57"/>
      <c r="I497" s="57"/>
      <c r="J497" s="69"/>
      <c r="K497" s="57"/>
      <c r="L497" s="57"/>
      <c r="M497" s="57"/>
    </row>
    <row r="498" spans="6:13" ht="15">
      <c r="F498" s="57"/>
      <c r="I498" s="57"/>
      <c r="J498" s="69"/>
      <c r="K498" s="57"/>
      <c r="L498" s="57"/>
      <c r="M498" s="57"/>
    </row>
    <row r="499" spans="6:13" ht="15">
      <c r="F499" s="57"/>
      <c r="I499" s="57"/>
      <c r="J499" s="69"/>
      <c r="K499" s="57"/>
      <c r="L499" s="57"/>
      <c r="M499" s="57"/>
    </row>
    <row r="500" spans="6:13" ht="15">
      <c r="F500" s="57"/>
      <c r="I500" s="57"/>
      <c r="J500" s="69"/>
      <c r="K500" s="57"/>
      <c r="L500" s="57"/>
      <c r="M500" s="57"/>
    </row>
    <row r="501" spans="6:13" ht="15">
      <c r="F501" s="57"/>
      <c r="I501" s="57"/>
      <c r="J501" s="69"/>
      <c r="K501" s="57"/>
      <c r="L501" s="57"/>
      <c r="M501" s="57"/>
    </row>
    <row r="502" spans="6:13" ht="15">
      <c r="F502" s="57"/>
      <c r="I502" s="57"/>
      <c r="J502" s="69"/>
      <c r="K502" s="57"/>
      <c r="L502" s="57"/>
      <c r="M502" s="57"/>
    </row>
    <row r="503" spans="6:13" ht="15">
      <c r="F503" s="57"/>
      <c r="I503" s="57"/>
      <c r="J503" s="69"/>
      <c r="K503" s="57"/>
      <c r="L503" s="57"/>
      <c r="M503" s="57"/>
    </row>
    <row r="504" spans="6:13" ht="15">
      <c r="F504" s="57"/>
      <c r="I504" s="57"/>
      <c r="J504" s="69"/>
      <c r="K504" s="57"/>
      <c r="L504" s="57"/>
      <c r="M504" s="57"/>
    </row>
    <row r="505" spans="6:13" ht="15">
      <c r="F505" s="57"/>
      <c r="I505" s="57"/>
      <c r="J505" s="69"/>
      <c r="K505" s="57"/>
      <c r="L505" s="57"/>
      <c r="M505" s="57"/>
    </row>
    <row r="506" spans="6:13" ht="15">
      <c r="F506" s="57"/>
      <c r="I506" s="57"/>
      <c r="J506" s="69"/>
      <c r="K506" s="57"/>
      <c r="L506" s="57"/>
      <c r="M506" s="57"/>
    </row>
    <row r="507" spans="6:13" ht="15">
      <c r="F507" s="57"/>
      <c r="I507" s="57"/>
      <c r="J507" s="69"/>
      <c r="K507" s="57"/>
      <c r="L507" s="57"/>
      <c r="M507" s="57"/>
    </row>
    <row r="508" spans="6:13" ht="15">
      <c r="F508" s="57"/>
      <c r="I508" s="57"/>
      <c r="J508" s="69"/>
      <c r="K508" s="57"/>
      <c r="L508" s="57"/>
      <c r="M508" s="57"/>
    </row>
    <row r="509" spans="6:13" ht="15">
      <c r="F509" s="57"/>
      <c r="I509" s="57"/>
      <c r="J509" s="69"/>
      <c r="K509" s="57"/>
      <c r="L509" s="57"/>
      <c r="M509" s="57"/>
    </row>
    <row r="510" spans="6:13" ht="15">
      <c r="F510" s="57"/>
      <c r="I510" s="57"/>
      <c r="J510" s="69"/>
      <c r="K510" s="57"/>
      <c r="L510" s="57"/>
      <c r="M510" s="57"/>
    </row>
    <row r="511" spans="6:13" ht="15">
      <c r="F511" s="57"/>
      <c r="I511" s="57"/>
      <c r="J511" s="69"/>
      <c r="K511" s="57"/>
      <c r="L511" s="57"/>
      <c r="M511" s="57"/>
    </row>
    <row r="512" spans="6:13" ht="15">
      <c r="F512" s="57"/>
      <c r="I512" s="57"/>
      <c r="J512" s="69"/>
      <c r="K512" s="57"/>
      <c r="L512" s="57"/>
      <c r="M512" s="57"/>
    </row>
    <row r="513" spans="6:13" ht="15">
      <c r="F513" s="57"/>
      <c r="I513" s="57"/>
      <c r="J513" s="69"/>
      <c r="K513" s="57"/>
      <c r="L513" s="57"/>
      <c r="M513" s="57"/>
    </row>
    <row r="514" spans="6:13" ht="15">
      <c r="F514" s="57"/>
      <c r="I514" s="57"/>
      <c r="J514" s="69"/>
      <c r="K514" s="57"/>
      <c r="L514" s="57"/>
      <c r="M514" s="57"/>
    </row>
    <row r="515" spans="6:13" ht="15">
      <c r="F515" s="57"/>
      <c r="I515" s="57"/>
      <c r="J515" s="69"/>
      <c r="K515" s="57"/>
      <c r="L515" s="57"/>
      <c r="M515" s="57"/>
    </row>
    <row r="516" spans="6:13" ht="15">
      <c r="F516" s="57"/>
      <c r="I516" s="57"/>
      <c r="J516" s="69"/>
      <c r="K516" s="57"/>
      <c r="L516" s="57"/>
      <c r="M516" s="57"/>
    </row>
    <row r="517" spans="6:13" ht="15">
      <c r="F517" s="57"/>
      <c r="I517" s="57"/>
      <c r="J517" s="69"/>
      <c r="K517" s="57"/>
      <c r="L517" s="57"/>
      <c r="M517" s="57"/>
    </row>
    <row r="518" spans="6:13" ht="15">
      <c r="F518" s="57"/>
      <c r="I518" s="57"/>
      <c r="J518" s="69"/>
      <c r="K518" s="57"/>
      <c r="L518" s="57"/>
      <c r="M518" s="57"/>
    </row>
    <row r="519" spans="6:13" ht="15">
      <c r="F519" s="57"/>
      <c r="I519" s="57"/>
      <c r="J519" s="69"/>
      <c r="K519" s="57"/>
      <c r="L519" s="57"/>
      <c r="M519" s="57"/>
    </row>
    <row r="520" spans="6:13" ht="15">
      <c r="F520" s="57"/>
      <c r="I520" s="57"/>
      <c r="J520" s="69"/>
      <c r="K520" s="57"/>
      <c r="L520" s="57"/>
      <c r="M520" s="57"/>
    </row>
    <row r="521" spans="6:13" ht="15">
      <c r="F521" s="57"/>
      <c r="I521" s="57"/>
      <c r="J521" s="69"/>
      <c r="K521" s="57"/>
      <c r="L521" s="57"/>
      <c r="M521" s="57"/>
    </row>
    <row r="522" spans="6:13" ht="15">
      <c r="F522" s="57"/>
      <c r="I522" s="57"/>
      <c r="J522" s="69"/>
      <c r="K522" s="57"/>
      <c r="L522" s="57"/>
      <c r="M522" s="57"/>
    </row>
    <row r="523" spans="6:13" ht="15">
      <c r="F523" s="57"/>
      <c r="I523" s="57"/>
      <c r="J523" s="69"/>
      <c r="K523" s="57"/>
      <c r="L523" s="57"/>
      <c r="M523" s="57"/>
    </row>
    <row r="524" spans="6:13" ht="15">
      <c r="F524" s="57"/>
      <c r="I524" s="57"/>
      <c r="J524" s="69"/>
      <c r="K524" s="57"/>
      <c r="L524" s="57"/>
      <c r="M524" s="57"/>
    </row>
    <row r="525" spans="6:13" ht="15">
      <c r="F525" s="57"/>
      <c r="I525" s="57"/>
      <c r="J525" s="69"/>
      <c r="K525" s="57"/>
      <c r="L525" s="57"/>
      <c r="M525" s="57"/>
    </row>
    <row r="526" spans="6:13" ht="15">
      <c r="F526" s="57"/>
      <c r="I526" s="57"/>
      <c r="J526" s="69"/>
      <c r="K526" s="57"/>
      <c r="L526" s="57"/>
      <c r="M526" s="57"/>
    </row>
    <row r="527" spans="6:13" ht="15">
      <c r="F527" s="57"/>
      <c r="I527" s="57"/>
      <c r="J527" s="69"/>
      <c r="K527" s="57"/>
      <c r="L527" s="57"/>
      <c r="M527" s="57"/>
    </row>
    <row r="528" spans="6:13" ht="15">
      <c r="F528" s="57"/>
      <c r="I528" s="57"/>
      <c r="J528" s="69"/>
      <c r="K528" s="57"/>
      <c r="L528" s="57"/>
      <c r="M528" s="57"/>
    </row>
    <row r="529" spans="6:13" ht="15">
      <c r="F529" s="57"/>
      <c r="I529" s="57"/>
      <c r="J529" s="69"/>
      <c r="K529" s="57"/>
      <c r="L529" s="57"/>
      <c r="M529" s="57"/>
    </row>
    <row r="530" spans="6:13" ht="15">
      <c r="F530" s="57"/>
      <c r="I530" s="57"/>
      <c r="J530" s="69"/>
      <c r="K530" s="57"/>
      <c r="L530" s="57"/>
      <c r="M530" s="57"/>
    </row>
    <row r="531" spans="6:13" ht="15">
      <c r="F531" s="57"/>
      <c r="I531" s="57"/>
      <c r="J531" s="69"/>
      <c r="K531" s="57"/>
      <c r="L531" s="57"/>
      <c r="M531" s="57"/>
    </row>
    <row r="532" spans="6:13" ht="15">
      <c r="F532" s="57"/>
      <c r="I532" s="57"/>
      <c r="J532" s="69"/>
      <c r="K532" s="57"/>
      <c r="L532" s="57"/>
      <c r="M532" s="57"/>
    </row>
    <row r="533" spans="6:13" ht="15">
      <c r="F533" s="57"/>
      <c r="I533" s="57"/>
      <c r="J533" s="69"/>
      <c r="K533" s="57"/>
      <c r="L533" s="57"/>
      <c r="M533" s="57"/>
    </row>
    <row r="534" spans="6:13" ht="15">
      <c r="F534" s="57"/>
      <c r="I534" s="57"/>
      <c r="J534" s="69"/>
      <c r="K534" s="57"/>
      <c r="L534" s="57"/>
      <c r="M534" s="57"/>
    </row>
    <row r="535" spans="6:13" ht="15">
      <c r="F535" s="57"/>
      <c r="I535" s="57"/>
      <c r="J535" s="69"/>
      <c r="K535" s="57"/>
      <c r="L535" s="57"/>
      <c r="M535" s="57"/>
    </row>
    <row r="536" spans="6:13" ht="15">
      <c r="F536" s="57"/>
      <c r="I536" s="57"/>
      <c r="J536" s="69"/>
      <c r="K536" s="57"/>
      <c r="L536" s="57"/>
      <c r="M536" s="57"/>
    </row>
    <row r="537" spans="6:13" ht="15">
      <c r="F537" s="57"/>
      <c r="I537" s="57"/>
      <c r="J537" s="69"/>
      <c r="K537" s="57"/>
      <c r="L537" s="57"/>
      <c r="M537" s="57"/>
    </row>
    <row r="538" spans="6:13" ht="15">
      <c r="F538" s="57"/>
      <c r="I538" s="57"/>
      <c r="J538" s="69"/>
      <c r="K538" s="57"/>
      <c r="L538" s="57"/>
      <c r="M538" s="57"/>
    </row>
    <row r="539" spans="6:13" ht="15">
      <c r="F539" s="57"/>
      <c r="I539" s="57"/>
      <c r="J539" s="69"/>
      <c r="K539" s="57"/>
      <c r="L539" s="57"/>
      <c r="M539" s="57"/>
    </row>
    <row r="540" spans="6:13" ht="15">
      <c r="F540" s="57"/>
      <c r="I540" s="57"/>
      <c r="J540" s="69"/>
      <c r="K540" s="57"/>
      <c r="L540" s="57"/>
      <c r="M540" s="57"/>
    </row>
    <row r="541" spans="6:13" ht="15">
      <c r="F541" s="57"/>
      <c r="I541" s="57"/>
      <c r="J541" s="69"/>
      <c r="K541" s="57"/>
      <c r="L541" s="57"/>
      <c r="M541" s="57"/>
    </row>
    <row r="542" spans="6:13" ht="15">
      <c r="F542" s="57"/>
      <c r="I542" s="57"/>
      <c r="J542" s="69"/>
      <c r="K542" s="57"/>
      <c r="L542" s="57"/>
      <c r="M542" s="57"/>
    </row>
    <row r="543" spans="6:13" ht="15">
      <c r="F543" s="57"/>
      <c r="I543" s="57"/>
      <c r="J543" s="69"/>
      <c r="K543" s="57"/>
      <c r="L543" s="57"/>
      <c r="M543" s="57"/>
    </row>
    <row r="544" spans="6:13" ht="15">
      <c r="F544" s="57"/>
      <c r="I544" s="57"/>
      <c r="J544" s="69"/>
      <c r="K544" s="57"/>
      <c r="L544" s="57"/>
      <c r="M544" s="57"/>
    </row>
    <row r="545" spans="6:13" ht="15">
      <c r="F545" s="57"/>
      <c r="I545" s="57"/>
      <c r="J545" s="69"/>
      <c r="K545" s="57"/>
      <c r="L545" s="57"/>
      <c r="M545" s="57"/>
    </row>
    <row r="546" spans="6:13" ht="15">
      <c r="F546" s="57"/>
      <c r="I546" s="57"/>
      <c r="J546" s="69"/>
      <c r="K546" s="57"/>
      <c r="L546" s="57"/>
      <c r="M546" s="57"/>
    </row>
    <row r="547" spans="6:13" ht="15">
      <c r="F547" s="57"/>
      <c r="I547" s="57"/>
      <c r="J547" s="69"/>
      <c r="K547" s="57"/>
      <c r="L547" s="57"/>
      <c r="M547" s="57"/>
    </row>
    <row r="548" spans="6:13" ht="15">
      <c r="F548" s="57"/>
      <c r="I548" s="57"/>
      <c r="J548" s="69"/>
      <c r="K548" s="57"/>
      <c r="L548" s="57"/>
      <c r="M548" s="57"/>
    </row>
    <row r="549" spans="6:13" ht="15">
      <c r="F549" s="57"/>
      <c r="I549" s="57"/>
      <c r="J549" s="69"/>
      <c r="K549" s="57"/>
      <c r="L549" s="57"/>
      <c r="M549" s="57"/>
    </row>
    <row r="550" spans="6:13" ht="15">
      <c r="F550" s="57"/>
      <c r="I550" s="57"/>
      <c r="J550" s="69"/>
      <c r="K550" s="57"/>
      <c r="L550" s="57"/>
      <c r="M550" s="57"/>
    </row>
    <row r="551" spans="6:13" ht="15">
      <c r="F551" s="57"/>
      <c r="I551" s="57"/>
      <c r="J551" s="69"/>
      <c r="K551" s="57"/>
      <c r="L551" s="57"/>
      <c r="M551" s="57"/>
    </row>
    <row r="552" spans="6:13" ht="15">
      <c r="F552" s="57"/>
      <c r="I552" s="57"/>
      <c r="J552" s="69"/>
      <c r="K552" s="57"/>
      <c r="L552" s="57"/>
      <c r="M552" s="57"/>
    </row>
    <row r="553" spans="6:13" ht="15">
      <c r="F553" s="57"/>
      <c r="I553" s="57"/>
      <c r="J553" s="69"/>
      <c r="K553" s="57"/>
      <c r="L553" s="57"/>
      <c r="M553" s="57"/>
    </row>
    <row r="554" spans="6:13" ht="15">
      <c r="F554" s="57"/>
      <c r="I554" s="57"/>
      <c r="J554" s="69"/>
      <c r="K554" s="57"/>
      <c r="L554" s="57"/>
      <c r="M554" s="57"/>
    </row>
    <row r="555" spans="6:13" ht="15">
      <c r="F555" s="57"/>
      <c r="I555" s="57"/>
      <c r="J555" s="69"/>
      <c r="K555" s="57"/>
      <c r="L555" s="57"/>
      <c r="M555" s="57"/>
    </row>
    <row r="556" spans="6:13" ht="15">
      <c r="F556" s="57"/>
      <c r="I556" s="57"/>
      <c r="J556" s="69"/>
      <c r="K556" s="57"/>
      <c r="L556" s="57"/>
      <c r="M556" s="57"/>
    </row>
    <row r="557" spans="6:13" ht="15">
      <c r="F557" s="57"/>
      <c r="I557" s="57"/>
      <c r="J557" s="69"/>
      <c r="K557" s="57"/>
      <c r="L557" s="57"/>
      <c r="M557" s="57"/>
    </row>
    <row r="558" spans="6:13" ht="15">
      <c r="F558" s="57"/>
      <c r="I558" s="57"/>
      <c r="J558" s="69"/>
      <c r="K558" s="57"/>
      <c r="L558" s="57"/>
      <c r="M558" s="57"/>
    </row>
    <row r="559" spans="6:13" ht="15">
      <c r="F559" s="57"/>
      <c r="I559" s="57"/>
      <c r="J559" s="69"/>
      <c r="K559" s="57"/>
      <c r="L559" s="57"/>
      <c r="M559" s="57"/>
    </row>
    <row r="560" spans="6:13" ht="15">
      <c r="F560" s="57"/>
      <c r="I560" s="57"/>
      <c r="J560" s="69"/>
      <c r="K560" s="57"/>
      <c r="L560" s="57"/>
      <c r="M560" s="57"/>
    </row>
    <row r="561" spans="6:13" ht="15">
      <c r="F561" s="57"/>
      <c r="I561" s="57"/>
      <c r="J561" s="69"/>
      <c r="K561" s="57"/>
      <c r="L561" s="57"/>
      <c r="M561" s="57"/>
    </row>
    <row r="562" spans="6:13" ht="15">
      <c r="F562" s="57"/>
      <c r="I562" s="57"/>
      <c r="J562" s="69"/>
      <c r="K562" s="57"/>
      <c r="L562" s="57"/>
      <c r="M562" s="57"/>
    </row>
    <row r="563" spans="6:13" ht="15">
      <c r="F563" s="57"/>
      <c r="I563" s="57"/>
      <c r="J563" s="69"/>
      <c r="K563" s="57"/>
      <c r="L563" s="57"/>
      <c r="M563" s="57"/>
    </row>
    <row r="564" spans="6:13" ht="15">
      <c r="F564" s="57"/>
      <c r="I564" s="57"/>
      <c r="J564" s="69"/>
      <c r="K564" s="57"/>
      <c r="L564" s="57"/>
      <c r="M564" s="57"/>
    </row>
    <row r="565" spans="6:13" ht="15">
      <c r="F565" s="57"/>
      <c r="I565" s="57"/>
      <c r="J565" s="69"/>
      <c r="K565" s="57"/>
      <c r="L565" s="57"/>
      <c r="M565" s="57"/>
    </row>
    <row r="566" spans="6:13" ht="15">
      <c r="F566" s="57"/>
      <c r="I566" s="57"/>
      <c r="J566" s="69"/>
      <c r="K566" s="57"/>
      <c r="L566" s="57"/>
      <c r="M566" s="57"/>
    </row>
    <row r="567" spans="6:13" ht="15">
      <c r="F567" s="57"/>
      <c r="I567" s="57"/>
      <c r="J567" s="69"/>
      <c r="K567" s="57"/>
      <c r="L567" s="57"/>
      <c r="M567" s="57"/>
    </row>
    <row r="568" spans="6:13" ht="15">
      <c r="F568" s="57"/>
      <c r="I568" s="57"/>
      <c r="J568" s="69"/>
      <c r="K568" s="57"/>
      <c r="L568" s="57"/>
      <c r="M568" s="57"/>
    </row>
    <row r="569" spans="6:13" ht="15">
      <c r="F569" s="57"/>
      <c r="I569" s="57"/>
      <c r="J569" s="69"/>
      <c r="K569" s="57"/>
      <c r="L569" s="57"/>
      <c r="M569" s="57"/>
    </row>
    <row r="570" spans="6:13" ht="15">
      <c r="F570" s="57"/>
      <c r="I570" s="57"/>
      <c r="J570" s="69"/>
      <c r="K570" s="57"/>
      <c r="L570" s="57"/>
      <c r="M570" s="57"/>
    </row>
    <row r="571" spans="6:13" ht="15">
      <c r="F571" s="57"/>
      <c r="I571" s="57"/>
      <c r="J571" s="69"/>
      <c r="K571" s="57"/>
      <c r="L571" s="57"/>
      <c r="M571" s="57"/>
    </row>
    <row r="572" spans="6:13" ht="15">
      <c r="F572" s="57"/>
      <c r="I572" s="57"/>
      <c r="J572" s="69"/>
      <c r="K572" s="57"/>
      <c r="L572" s="57"/>
      <c r="M572" s="57"/>
    </row>
    <row r="573" spans="6:13" ht="15">
      <c r="F573" s="57"/>
      <c r="I573" s="57"/>
      <c r="J573" s="69"/>
      <c r="K573" s="57"/>
      <c r="L573" s="57"/>
      <c r="M573" s="57"/>
    </row>
    <row r="574" spans="6:13" ht="15">
      <c r="F574" s="57"/>
      <c r="I574" s="57"/>
      <c r="J574" s="69"/>
      <c r="K574" s="57"/>
      <c r="L574" s="57"/>
      <c r="M574" s="57"/>
    </row>
    <row r="575" spans="6:13" ht="15">
      <c r="F575" s="57"/>
      <c r="I575" s="57"/>
      <c r="J575" s="69"/>
      <c r="K575" s="57"/>
      <c r="L575" s="57"/>
      <c r="M575" s="57"/>
    </row>
    <row r="576" spans="6:13" ht="15">
      <c r="F576" s="57"/>
      <c r="I576" s="57"/>
      <c r="J576" s="69"/>
      <c r="K576" s="57"/>
      <c r="L576" s="57"/>
      <c r="M576" s="57"/>
    </row>
    <row r="577" spans="6:13" ht="15">
      <c r="F577" s="57"/>
      <c r="I577" s="57"/>
      <c r="J577" s="69"/>
      <c r="K577" s="57"/>
      <c r="L577" s="57"/>
      <c r="M577" s="57"/>
    </row>
    <row r="578" spans="6:13" ht="15">
      <c r="F578" s="57"/>
      <c r="I578" s="57"/>
      <c r="J578" s="69"/>
      <c r="K578" s="57"/>
      <c r="L578" s="57"/>
      <c r="M578" s="57"/>
    </row>
    <row r="579" spans="6:13" ht="15">
      <c r="F579" s="57"/>
      <c r="I579" s="57"/>
      <c r="J579" s="69"/>
      <c r="K579" s="57"/>
      <c r="L579" s="57"/>
      <c r="M579" s="57"/>
    </row>
    <row r="580" spans="6:13" ht="15">
      <c r="F580" s="57"/>
      <c r="I580" s="57"/>
      <c r="J580" s="69"/>
      <c r="K580" s="57"/>
      <c r="L580" s="57"/>
      <c r="M580" s="57"/>
    </row>
    <row r="581" spans="6:13" ht="15">
      <c r="F581" s="57"/>
      <c r="I581" s="57"/>
      <c r="J581" s="69"/>
      <c r="K581" s="57"/>
      <c r="L581" s="57"/>
      <c r="M581" s="57"/>
    </row>
    <row r="582" spans="6:13" ht="15">
      <c r="F582" s="57"/>
      <c r="I582" s="57"/>
      <c r="J582" s="69"/>
      <c r="K582" s="57"/>
      <c r="L582" s="57"/>
      <c r="M582" s="57"/>
    </row>
    <row r="583" spans="6:13" ht="15">
      <c r="F583" s="57"/>
      <c r="I583" s="57"/>
      <c r="J583" s="69"/>
      <c r="K583" s="57"/>
      <c r="L583" s="57"/>
      <c r="M583" s="57"/>
    </row>
    <row r="584" spans="6:13" ht="15">
      <c r="F584" s="57"/>
      <c r="I584" s="57"/>
      <c r="J584" s="69"/>
      <c r="K584" s="57"/>
      <c r="L584" s="57"/>
      <c r="M584" s="57"/>
    </row>
    <row r="585" spans="6:13" ht="15">
      <c r="F585" s="57"/>
      <c r="I585" s="57"/>
      <c r="J585" s="69"/>
      <c r="K585" s="57"/>
      <c r="L585" s="57"/>
      <c r="M585" s="57"/>
    </row>
    <row r="586" spans="6:13" ht="15">
      <c r="F586" s="57"/>
      <c r="I586" s="57"/>
      <c r="J586" s="69"/>
      <c r="K586" s="57"/>
      <c r="L586" s="57"/>
      <c r="M586" s="57"/>
    </row>
    <row r="587" spans="6:13" ht="15">
      <c r="F587" s="57"/>
      <c r="I587" s="57"/>
      <c r="J587" s="69"/>
      <c r="K587" s="57"/>
      <c r="L587" s="57"/>
      <c r="M587" s="57"/>
    </row>
    <row r="588" spans="6:13" ht="15">
      <c r="F588" s="57"/>
      <c r="I588" s="57"/>
      <c r="J588" s="69"/>
      <c r="K588" s="57"/>
      <c r="L588" s="57"/>
      <c r="M588" s="57"/>
    </row>
    <row r="589" spans="6:13" ht="15">
      <c r="F589" s="57"/>
      <c r="I589" s="57"/>
      <c r="J589" s="69"/>
      <c r="K589" s="57"/>
      <c r="L589" s="57"/>
      <c r="M589" s="57"/>
    </row>
    <row r="590" spans="6:13" ht="15">
      <c r="F590" s="57"/>
      <c r="I590" s="57"/>
      <c r="J590" s="69"/>
      <c r="K590" s="57"/>
      <c r="L590" s="57"/>
      <c r="M590" s="57"/>
    </row>
    <row r="591" spans="6:13" ht="15">
      <c r="F591" s="57"/>
      <c r="I591" s="57"/>
      <c r="J591" s="69"/>
      <c r="K591" s="57"/>
      <c r="L591" s="57"/>
      <c r="M591" s="57"/>
    </row>
    <row r="592" spans="6:13" ht="15">
      <c r="F592" s="57"/>
      <c r="I592" s="57"/>
      <c r="J592" s="69"/>
      <c r="K592" s="57"/>
      <c r="L592" s="57"/>
      <c r="M592" s="57"/>
    </row>
    <row r="593" spans="6:13" ht="15">
      <c r="F593" s="57"/>
      <c r="I593" s="57"/>
      <c r="J593" s="69"/>
      <c r="K593" s="57"/>
      <c r="L593" s="57"/>
      <c r="M593" s="57"/>
    </row>
    <row r="594" spans="6:13" ht="15">
      <c r="F594" s="57"/>
      <c r="I594" s="57"/>
      <c r="J594" s="69"/>
      <c r="K594" s="57"/>
      <c r="L594" s="57"/>
      <c r="M594" s="57"/>
    </row>
    <row r="595" spans="6:13" ht="15">
      <c r="F595" s="57"/>
      <c r="I595" s="57"/>
      <c r="J595" s="69"/>
      <c r="K595" s="57"/>
      <c r="L595" s="57"/>
      <c r="M595" s="57"/>
    </row>
    <row r="596" spans="6:13" ht="15">
      <c r="F596" s="57"/>
      <c r="I596" s="57"/>
      <c r="J596" s="69"/>
      <c r="K596" s="57"/>
      <c r="L596" s="57"/>
      <c r="M596" s="57"/>
    </row>
    <row r="597" spans="6:13" ht="15">
      <c r="F597" s="57"/>
      <c r="I597" s="57"/>
      <c r="J597" s="69"/>
      <c r="K597" s="57"/>
      <c r="L597" s="57"/>
      <c r="M597" s="57"/>
    </row>
    <row r="598" spans="6:13" ht="15">
      <c r="F598" s="57"/>
      <c r="I598" s="57"/>
      <c r="J598" s="69"/>
      <c r="K598" s="57"/>
      <c r="L598" s="57"/>
      <c r="M598" s="57"/>
    </row>
    <row r="599" spans="6:13" ht="15">
      <c r="F599" s="57"/>
      <c r="I599" s="57"/>
      <c r="J599" s="69"/>
      <c r="K599" s="57"/>
      <c r="L599" s="57"/>
      <c r="M599" s="57"/>
    </row>
    <row r="600" spans="6:13" ht="15">
      <c r="F600" s="57"/>
      <c r="I600" s="57"/>
      <c r="J600" s="69"/>
      <c r="K600" s="57"/>
      <c r="L600" s="57"/>
      <c r="M600" s="57"/>
    </row>
    <row r="601" spans="6:13" ht="15">
      <c r="F601" s="57"/>
      <c r="I601" s="57"/>
      <c r="J601" s="69"/>
      <c r="K601" s="57"/>
      <c r="L601" s="57"/>
      <c r="M601" s="57"/>
    </row>
    <row r="602" spans="6:13" ht="15">
      <c r="F602" s="57"/>
      <c r="I602" s="57"/>
      <c r="J602" s="69"/>
      <c r="K602" s="57"/>
      <c r="L602" s="57"/>
      <c r="M602" s="57"/>
    </row>
    <row r="603" spans="6:13" ht="15">
      <c r="F603" s="57"/>
      <c r="I603" s="57"/>
      <c r="J603" s="69"/>
      <c r="K603" s="57"/>
      <c r="L603" s="57"/>
      <c r="M603" s="57"/>
    </row>
    <row r="604" spans="6:13" ht="15">
      <c r="F604" s="57"/>
      <c r="I604" s="57"/>
      <c r="J604" s="69"/>
      <c r="K604" s="57"/>
      <c r="L604" s="57"/>
      <c r="M604" s="57"/>
    </row>
    <row r="605" spans="6:13" ht="15">
      <c r="F605" s="57"/>
      <c r="I605" s="57"/>
      <c r="J605" s="69"/>
      <c r="K605" s="57"/>
      <c r="L605" s="57"/>
      <c r="M605" s="57"/>
    </row>
    <row r="606" spans="6:13" ht="15">
      <c r="F606" s="57"/>
      <c r="I606" s="57"/>
      <c r="J606" s="69"/>
      <c r="K606" s="57"/>
      <c r="L606" s="57"/>
      <c r="M606" s="57"/>
    </row>
    <row r="607" spans="6:13" ht="15">
      <c r="F607" s="57"/>
      <c r="I607" s="57"/>
      <c r="J607" s="69"/>
      <c r="K607" s="57"/>
      <c r="L607" s="57"/>
      <c r="M607" s="57"/>
    </row>
    <row r="608" spans="6:13" ht="15">
      <c r="F608" s="57"/>
      <c r="I608" s="57"/>
      <c r="J608" s="69"/>
      <c r="K608" s="57"/>
      <c r="L608" s="57"/>
      <c r="M608" s="57"/>
    </row>
    <row r="609" spans="6:13" ht="15">
      <c r="F609" s="57"/>
      <c r="I609" s="57"/>
      <c r="J609" s="69"/>
      <c r="K609" s="57"/>
      <c r="L609" s="57"/>
      <c r="M609" s="57"/>
    </row>
    <row r="610" spans="6:13" ht="15">
      <c r="F610" s="57"/>
      <c r="I610" s="57"/>
      <c r="J610" s="69"/>
      <c r="K610" s="57"/>
      <c r="L610" s="57"/>
      <c r="M610" s="57"/>
    </row>
    <row r="611" spans="6:13" ht="15">
      <c r="F611" s="57"/>
      <c r="I611" s="57"/>
      <c r="J611" s="69"/>
      <c r="K611" s="57"/>
      <c r="L611" s="57"/>
      <c r="M611" s="57"/>
    </row>
    <row r="612" spans="6:13" ht="15">
      <c r="F612" s="57"/>
      <c r="I612" s="57"/>
      <c r="J612" s="69"/>
      <c r="K612" s="57"/>
      <c r="L612" s="57"/>
      <c r="M612" s="57"/>
    </row>
    <row r="613" spans="6:13" ht="15">
      <c r="F613" s="57"/>
      <c r="I613" s="57"/>
      <c r="J613" s="69"/>
      <c r="K613" s="57"/>
      <c r="L613" s="57"/>
      <c r="M613" s="57"/>
    </row>
    <row r="614" spans="6:13" ht="15">
      <c r="F614" s="57"/>
      <c r="I614" s="57"/>
      <c r="J614" s="69"/>
      <c r="K614" s="57"/>
      <c r="L614" s="57"/>
      <c r="M614" s="57"/>
    </row>
    <row r="615" spans="6:13" ht="15">
      <c r="F615" s="57"/>
      <c r="I615" s="57"/>
      <c r="J615" s="69"/>
      <c r="K615" s="57"/>
      <c r="L615" s="57"/>
      <c r="M615" s="57"/>
    </row>
    <row r="616" spans="6:13" ht="15">
      <c r="F616" s="57"/>
      <c r="I616" s="57"/>
      <c r="J616" s="69"/>
      <c r="K616" s="57"/>
      <c r="L616" s="57"/>
      <c r="M616" s="57"/>
    </row>
    <row r="617" spans="6:13" ht="15">
      <c r="F617" s="57"/>
      <c r="I617" s="57"/>
      <c r="J617" s="69"/>
      <c r="K617" s="57"/>
      <c r="L617" s="57"/>
      <c r="M617" s="57"/>
    </row>
    <row r="618" spans="6:13" ht="15">
      <c r="F618" s="57"/>
      <c r="I618" s="57"/>
      <c r="J618" s="69"/>
      <c r="K618" s="57"/>
      <c r="L618" s="57"/>
      <c r="M618" s="57"/>
    </row>
    <row r="619" spans="6:13" ht="15">
      <c r="F619" s="57"/>
      <c r="I619" s="57"/>
      <c r="J619" s="69"/>
      <c r="K619" s="57"/>
      <c r="L619" s="57"/>
      <c r="M619" s="57"/>
    </row>
    <row r="620" spans="6:13" ht="15">
      <c r="F620" s="57"/>
      <c r="I620" s="57"/>
      <c r="J620" s="69"/>
      <c r="K620" s="57"/>
      <c r="L620" s="57"/>
      <c r="M620" s="57"/>
    </row>
    <row r="621" spans="6:13" ht="15">
      <c r="F621" s="57"/>
      <c r="I621" s="57"/>
      <c r="J621" s="69"/>
      <c r="K621" s="57"/>
      <c r="L621" s="57"/>
      <c r="M621" s="57"/>
    </row>
    <row r="622" spans="6:13" ht="15">
      <c r="F622" s="57"/>
      <c r="I622" s="57"/>
      <c r="J622" s="69"/>
      <c r="K622" s="57"/>
      <c r="L622" s="57"/>
      <c r="M622" s="57"/>
    </row>
    <row r="623" spans="6:13" ht="15">
      <c r="F623" s="57"/>
      <c r="I623" s="57"/>
      <c r="J623" s="69"/>
      <c r="K623" s="57"/>
      <c r="L623" s="57"/>
      <c r="M623" s="57"/>
    </row>
    <row r="624" spans="6:13" ht="15">
      <c r="F624" s="57"/>
      <c r="I624" s="57"/>
      <c r="J624" s="69"/>
      <c r="K624" s="57"/>
      <c r="L624" s="57"/>
      <c r="M624" s="57"/>
    </row>
    <row r="625" spans="6:13" ht="15">
      <c r="F625" s="57"/>
      <c r="I625" s="57"/>
      <c r="J625" s="69"/>
      <c r="K625" s="57"/>
      <c r="L625" s="57"/>
      <c r="M625" s="57"/>
    </row>
    <row r="626" spans="6:13" ht="15">
      <c r="F626" s="57"/>
      <c r="I626" s="57"/>
      <c r="J626" s="69"/>
      <c r="K626" s="57"/>
      <c r="L626" s="57"/>
      <c r="M626" s="57"/>
    </row>
    <row r="627" spans="6:13" ht="15">
      <c r="F627" s="57"/>
      <c r="I627" s="57"/>
      <c r="J627" s="69"/>
      <c r="K627" s="57"/>
      <c r="L627" s="57"/>
      <c r="M627" s="57"/>
    </row>
    <row r="628" spans="6:13" ht="15">
      <c r="F628" s="57"/>
      <c r="I628" s="57"/>
      <c r="J628" s="69"/>
      <c r="K628" s="57"/>
      <c r="L628" s="57"/>
      <c r="M628" s="57"/>
    </row>
    <row r="629" spans="6:13" ht="15">
      <c r="F629" s="57"/>
      <c r="I629" s="57"/>
      <c r="J629" s="69"/>
      <c r="K629" s="57"/>
      <c r="L629" s="57"/>
      <c r="M629" s="57"/>
    </row>
    <row r="630" spans="6:13" ht="15">
      <c r="F630" s="57"/>
      <c r="I630" s="57"/>
      <c r="J630" s="69"/>
      <c r="K630" s="57"/>
      <c r="L630" s="57"/>
      <c r="M630" s="57"/>
    </row>
    <row r="631" spans="6:13" ht="15">
      <c r="F631" s="57"/>
      <c r="I631" s="57"/>
      <c r="J631" s="69"/>
      <c r="K631" s="57"/>
      <c r="L631" s="57"/>
      <c r="M631" s="57"/>
    </row>
    <row r="632" spans="6:13" ht="15">
      <c r="F632" s="57"/>
      <c r="I632" s="57"/>
      <c r="J632" s="69"/>
      <c r="K632" s="57"/>
      <c r="L632" s="57"/>
      <c r="M632" s="57"/>
    </row>
    <row r="633" spans="6:13" ht="15">
      <c r="F633" s="57"/>
      <c r="I633" s="57"/>
      <c r="J633" s="69"/>
      <c r="K633" s="57"/>
      <c r="L633" s="57"/>
      <c r="M633" s="57"/>
    </row>
    <row r="634" spans="6:13" ht="15">
      <c r="F634" s="57"/>
      <c r="I634" s="57"/>
      <c r="J634" s="69"/>
      <c r="K634" s="57"/>
      <c r="L634" s="57"/>
      <c r="M634" s="57"/>
    </row>
    <row r="635" spans="6:13" ht="15">
      <c r="F635" s="57"/>
      <c r="I635" s="57"/>
      <c r="J635" s="69"/>
      <c r="K635" s="57"/>
      <c r="L635" s="57"/>
      <c r="M635" s="57"/>
    </row>
    <row r="636" spans="6:13" ht="15">
      <c r="F636" s="57"/>
      <c r="I636" s="57"/>
      <c r="J636" s="69"/>
      <c r="K636" s="57"/>
      <c r="L636" s="57"/>
      <c r="M636" s="57"/>
    </row>
    <row r="637" spans="6:13" ht="15">
      <c r="F637" s="57"/>
      <c r="I637" s="57"/>
      <c r="J637" s="69"/>
      <c r="K637" s="57"/>
      <c r="L637" s="57"/>
      <c r="M637" s="57"/>
    </row>
    <row r="638" spans="6:13" ht="15">
      <c r="F638" s="57"/>
      <c r="I638" s="57"/>
      <c r="J638" s="69"/>
      <c r="K638" s="57"/>
      <c r="L638" s="57"/>
      <c r="M638" s="57"/>
    </row>
    <row r="639" spans="6:13" ht="15">
      <c r="F639" s="57"/>
      <c r="I639" s="57"/>
      <c r="J639" s="69"/>
      <c r="K639" s="57"/>
      <c r="L639" s="57"/>
      <c r="M639" s="57"/>
    </row>
    <row r="640" spans="6:13" ht="15">
      <c r="F640" s="57"/>
      <c r="I640" s="57"/>
      <c r="J640" s="69"/>
      <c r="K640" s="57"/>
      <c r="L640" s="57"/>
      <c r="M640" s="57"/>
    </row>
    <row r="641" spans="6:13" ht="15">
      <c r="F641" s="57"/>
      <c r="I641" s="57"/>
      <c r="J641" s="69"/>
      <c r="K641" s="57"/>
      <c r="L641" s="57"/>
      <c r="M641" s="57"/>
    </row>
    <row r="642" spans="6:13" ht="15">
      <c r="F642" s="57"/>
      <c r="I642" s="57"/>
      <c r="J642" s="69"/>
      <c r="K642" s="57"/>
      <c r="L642" s="57"/>
      <c r="M642" s="57"/>
    </row>
    <row r="643" spans="6:13" ht="15">
      <c r="F643" s="57"/>
      <c r="I643" s="57"/>
      <c r="J643" s="69"/>
      <c r="K643" s="57"/>
      <c r="L643" s="57"/>
      <c r="M643" s="57"/>
    </row>
    <row r="644" spans="6:13" ht="15">
      <c r="F644" s="57"/>
      <c r="I644" s="57"/>
      <c r="J644" s="69"/>
      <c r="K644" s="57"/>
      <c r="L644" s="57"/>
      <c r="M644" s="57"/>
    </row>
    <row r="645" spans="6:13" ht="15">
      <c r="F645" s="57"/>
      <c r="I645" s="57"/>
      <c r="J645" s="69"/>
      <c r="K645" s="57"/>
      <c r="L645" s="57"/>
      <c r="M645" s="57"/>
    </row>
    <row r="646" spans="6:13" ht="15">
      <c r="F646" s="57"/>
      <c r="I646" s="57"/>
      <c r="J646" s="69"/>
      <c r="K646" s="57"/>
      <c r="L646" s="57"/>
      <c r="M646" s="57"/>
    </row>
    <row r="647" spans="6:13" ht="15">
      <c r="F647" s="57"/>
      <c r="I647" s="57"/>
      <c r="J647" s="69"/>
      <c r="K647" s="57"/>
      <c r="L647" s="57"/>
      <c r="M647" s="57"/>
    </row>
    <row r="648" spans="6:13" ht="15">
      <c r="F648" s="57"/>
      <c r="I648" s="57"/>
      <c r="J648" s="69"/>
      <c r="K648" s="57"/>
      <c r="L648" s="57"/>
      <c r="M648" s="57"/>
    </row>
    <row r="649" spans="6:13" ht="15">
      <c r="F649" s="57"/>
      <c r="I649" s="57"/>
      <c r="J649" s="69"/>
      <c r="K649" s="57"/>
      <c r="L649" s="57"/>
      <c r="M649" s="57"/>
    </row>
    <row r="650" spans="6:13" ht="15">
      <c r="F650" s="57"/>
      <c r="I650" s="57"/>
      <c r="J650" s="69"/>
      <c r="K650" s="57"/>
      <c r="L650" s="57"/>
      <c r="M650" s="57"/>
    </row>
    <row r="651" spans="6:13" ht="15">
      <c r="F651" s="57"/>
      <c r="I651" s="57"/>
      <c r="J651" s="69"/>
      <c r="K651" s="57"/>
      <c r="L651" s="57"/>
      <c r="M651" s="57"/>
    </row>
    <row r="652" spans="6:13" ht="15">
      <c r="F652" s="57"/>
      <c r="I652" s="57"/>
      <c r="J652" s="69"/>
      <c r="K652" s="57"/>
      <c r="L652" s="57"/>
      <c r="M652" s="57"/>
    </row>
    <row r="653" spans="6:13" ht="15">
      <c r="F653" s="57"/>
      <c r="I653" s="57"/>
      <c r="J653" s="69"/>
      <c r="K653" s="57"/>
      <c r="L653" s="57"/>
      <c r="M653" s="57"/>
    </row>
    <row r="654" spans="6:13" ht="15">
      <c r="F654" s="57"/>
      <c r="I654" s="57"/>
      <c r="J654" s="69"/>
      <c r="K654" s="57"/>
      <c r="L654" s="57"/>
      <c r="M654" s="57"/>
    </row>
    <row r="655" spans="6:13" ht="15">
      <c r="F655" s="57"/>
      <c r="I655" s="57"/>
      <c r="J655" s="69"/>
      <c r="K655" s="57"/>
      <c r="L655" s="57"/>
      <c r="M655" s="57"/>
    </row>
    <row r="656" spans="6:13" ht="15">
      <c r="F656" s="57"/>
      <c r="I656" s="57"/>
      <c r="J656" s="69"/>
      <c r="K656" s="57"/>
      <c r="L656" s="57"/>
      <c r="M656" s="57"/>
    </row>
    <row r="657" spans="6:13" ht="15">
      <c r="F657" s="57"/>
      <c r="I657" s="57"/>
      <c r="J657" s="69"/>
      <c r="K657" s="57"/>
      <c r="L657" s="57"/>
      <c r="M657" s="57"/>
    </row>
    <row r="658" spans="6:13" ht="15">
      <c r="F658" s="57"/>
      <c r="I658" s="57"/>
      <c r="J658" s="69"/>
      <c r="K658" s="57"/>
      <c r="L658" s="57"/>
      <c r="M658" s="57"/>
    </row>
    <row r="659" spans="6:13" ht="15">
      <c r="F659" s="57"/>
      <c r="I659" s="57"/>
      <c r="J659" s="69"/>
      <c r="K659" s="57"/>
      <c r="L659" s="57"/>
      <c r="M659" s="57"/>
    </row>
    <row r="660" spans="6:13" ht="15">
      <c r="F660" s="57"/>
      <c r="I660" s="57"/>
      <c r="J660" s="69"/>
      <c r="K660" s="57"/>
      <c r="L660" s="57"/>
      <c r="M660" s="57"/>
    </row>
    <row r="661" spans="6:13" ht="15">
      <c r="F661" s="57"/>
      <c r="I661" s="57"/>
      <c r="J661" s="69"/>
      <c r="K661" s="57"/>
      <c r="L661" s="57"/>
      <c r="M661" s="57"/>
    </row>
    <row r="662" spans="6:13" ht="15">
      <c r="F662" s="57"/>
      <c r="I662" s="57"/>
      <c r="J662" s="69"/>
      <c r="K662" s="57"/>
      <c r="L662" s="57"/>
      <c r="M662" s="57"/>
    </row>
    <row r="663" spans="6:13" ht="15">
      <c r="F663" s="57"/>
      <c r="I663" s="57"/>
      <c r="J663" s="69"/>
      <c r="K663" s="57"/>
      <c r="L663" s="57"/>
      <c r="M663" s="57"/>
    </row>
    <row r="664" spans="6:13" ht="15">
      <c r="F664" s="57"/>
      <c r="I664" s="57"/>
      <c r="J664" s="69"/>
      <c r="K664" s="57"/>
      <c r="L664" s="57"/>
      <c r="M664" s="57"/>
    </row>
    <row r="665" spans="6:13" ht="15">
      <c r="F665" s="57"/>
      <c r="I665" s="57"/>
      <c r="J665" s="69"/>
      <c r="K665" s="57"/>
      <c r="L665" s="57"/>
      <c r="M665" s="57"/>
    </row>
    <row r="666" spans="6:13" ht="15">
      <c r="F666" s="57"/>
      <c r="I666" s="57"/>
      <c r="J666" s="69"/>
      <c r="K666" s="57"/>
      <c r="L666" s="57"/>
      <c r="M666" s="57"/>
    </row>
    <row r="667" spans="6:13" ht="15">
      <c r="F667" s="57"/>
      <c r="I667" s="57"/>
      <c r="J667" s="69"/>
      <c r="K667" s="57"/>
      <c r="L667" s="57"/>
      <c r="M667" s="57"/>
    </row>
    <row r="668" spans="6:13" ht="15">
      <c r="F668" s="57"/>
      <c r="I668" s="57"/>
      <c r="J668" s="69"/>
      <c r="K668" s="57"/>
      <c r="L668" s="57"/>
      <c r="M668" s="57"/>
    </row>
    <row r="669" spans="6:13" ht="15">
      <c r="F669" s="57"/>
      <c r="I669" s="57"/>
      <c r="J669" s="69"/>
      <c r="K669" s="57"/>
      <c r="L669" s="57"/>
      <c r="M669" s="57"/>
    </row>
    <row r="670" spans="6:13" ht="15">
      <c r="F670" s="57"/>
      <c r="I670" s="57"/>
      <c r="J670" s="69"/>
      <c r="K670" s="57"/>
      <c r="L670" s="57"/>
      <c r="M670" s="57"/>
    </row>
    <row r="671" spans="6:13" ht="15">
      <c r="F671" s="57"/>
      <c r="I671" s="57"/>
      <c r="J671" s="69"/>
      <c r="K671" s="57"/>
      <c r="L671" s="57"/>
      <c r="M671" s="57"/>
    </row>
    <row r="672" spans="6:13" ht="15">
      <c r="F672" s="57"/>
      <c r="I672" s="57"/>
      <c r="J672" s="69"/>
      <c r="K672" s="57"/>
      <c r="L672" s="57"/>
      <c r="M672" s="57"/>
    </row>
    <row r="673" spans="6:13" ht="15">
      <c r="F673" s="57"/>
      <c r="I673" s="57"/>
      <c r="J673" s="69"/>
      <c r="K673" s="57"/>
      <c r="L673" s="57"/>
      <c r="M673" s="57"/>
    </row>
    <row r="674" spans="6:13" ht="15">
      <c r="F674" s="57"/>
      <c r="I674" s="57"/>
      <c r="J674" s="69"/>
      <c r="K674" s="57"/>
      <c r="L674" s="57"/>
      <c r="M674" s="57"/>
    </row>
    <row r="675" spans="6:13" ht="15">
      <c r="F675" s="57"/>
      <c r="I675" s="57"/>
      <c r="J675" s="69"/>
      <c r="K675" s="57"/>
      <c r="L675" s="57"/>
      <c r="M675" s="57"/>
    </row>
    <row r="676" spans="6:13" ht="15">
      <c r="F676" s="57"/>
      <c r="I676" s="57"/>
      <c r="J676" s="69"/>
      <c r="K676" s="57"/>
      <c r="L676" s="57"/>
      <c r="M676" s="57"/>
    </row>
    <row r="677" spans="6:13" ht="15">
      <c r="F677" s="57"/>
      <c r="I677" s="57"/>
      <c r="J677" s="69"/>
      <c r="K677" s="57"/>
      <c r="L677" s="57"/>
      <c r="M677" s="57"/>
    </row>
    <row r="678" spans="6:13" ht="15">
      <c r="F678" s="57"/>
      <c r="I678" s="57"/>
      <c r="J678" s="69"/>
      <c r="K678" s="57"/>
      <c r="L678" s="57"/>
      <c r="M678" s="57"/>
    </row>
    <row r="679" spans="6:13" ht="15">
      <c r="F679" s="57"/>
      <c r="I679" s="57"/>
      <c r="J679" s="69"/>
      <c r="K679" s="57"/>
      <c r="L679" s="57"/>
      <c r="M679" s="57"/>
    </row>
    <row r="680" spans="6:13" ht="15">
      <c r="F680" s="57"/>
      <c r="I680" s="57"/>
      <c r="J680" s="69"/>
      <c r="K680" s="57"/>
      <c r="L680" s="57"/>
      <c r="M680" s="57"/>
    </row>
    <row r="681" spans="6:13" ht="15">
      <c r="F681" s="57"/>
      <c r="I681" s="57"/>
      <c r="J681" s="69"/>
      <c r="K681" s="57"/>
      <c r="L681" s="57"/>
      <c r="M681" s="57"/>
    </row>
    <row r="682" spans="6:13" ht="15">
      <c r="F682" s="57"/>
      <c r="I682" s="57"/>
      <c r="J682" s="69"/>
      <c r="K682" s="57"/>
      <c r="L682" s="57"/>
      <c r="M682" s="57"/>
    </row>
    <row r="683" spans="6:13" ht="15">
      <c r="F683" s="57"/>
      <c r="I683" s="57"/>
      <c r="J683" s="69"/>
      <c r="K683" s="57"/>
      <c r="L683" s="57"/>
      <c r="M683" s="57"/>
    </row>
    <row r="684" spans="6:13" ht="15">
      <c r="F684" s="57"/>
      <c r="I684" s="57"/>
      <c r="J684" s="69"/>
      <c r="K684" s="57"/>
      <c r="L684" s="57"/>
      <c r="M684" s="57"/>
    </row>
    <row r="685" spans="6:13" ht="15">
      <c r="F685" s="57"/>
      <c r="I685" s="57"/>
      <c r="J685" s="69"/>
      <c r="K685" s="57"/>
      <c r="L685" s="57"/>
      <c r="M685" s="57"/>
    </row>
    <row r="686" spans="6:13" ht="15">
      <c r="F686" s="57"/>
      <c r="I686" s="57"/>
      <c r="J686" s="69"/>
      <c r="K686" s="57"/>
      <c r="L686" s="57"/>
      <c r="M686" s="57"/>
    </row>
    <row r="687" spans="6:13" ht="15">
      <c r="F687" s="57"/>
      <c r="I687" s="57"/>
      <c r="J687" s="69"/>
      <c r="K687" s="57"/>
      <c r="L687" s="57"/>
      <c r="M687" s="57"/>
    </row>
    <row r="688" spans="6:13" ht="15">
      <c r="F688" s="57"/>
      <c r="I688" s="57"/>
      <c r="J688" s="69"/>
      <c r="K688" s="57"/>
      <c r="L688" s="57"/>
      <c r="M688" s="57"/>
    </row>
    <row r="689" spans="6:13" ht="15">
      <c r="F689" s="57"/>
      <c r="I689" s="57"/>
      <c r="J689" s="69"/>
      <c r="K689" s="57"/>
      <c r="L689" s="57"/>
      <c r="M689" s="57"/>
    </row>
    <row r="690" spans="6:13" ht="15">
      <c r="F690" s="57"/>
      <c r="I690" s="57"/>
      <c r="J690" s="69"/>
      <c r="K690" s="57"/>
      <c r="L690" s="57"/>
      <c r="M690" s="57"/>
    </row>
    <row r="691" spans="6:13" ht="15">
      <c r="F691" s="57"/>
      <c r="I691" s="57"/>
      <c r="J691" s="69"/>
      <c r="K691" s="57"/>
      <c r="L691" s="57"/>
      <c r="M691" s="57"/>
    </row>
    <row r="692" spans="6:13" ht="15">
      <c r="F692" s="57"/>
      <c r="I692" s="57"/>
      <c r="J692" s="69"/>
      <c r="K692" s="57"/>
      <c r="L692" s="57"/>
      <c r="M692" s="57"/>
    </row>
    <row r="693" spans="6:13" ht="15">
      <c r="F693" s="57"/>
      <c r="I693" s="57"/>
      <c r="J693" s="69"/>
      <c r="K693" s="57"/>
      <c r="L693" s="57"/>
      <c r="M693" s="57"/>
    </row>
    <row r="694" spans="6:13" ht="15">
      <c r="F694" s="57"/>
      <c r="I694" s="57"/>
      <c r="J694" s="69"/>
      <c r="K694" s="57"/>
      <c r="L694" s="57"/>
      <c r="M694" s="57"/>
    </row>
    <row r="695" spans="6:13" ht="15">
      <c r="F695" s="57"/>
      <c r="I695" s="57"/>
      <c r="J695" s="69"/>
      <c r="K695" s="57"/>
      <c r="L695" s="57"/>
      <c r="M695" s="57"/>
    </row>
    <row r="696" spans="6:13" ht="15">
      <c r="F696" s="57"/>
      <c r="I696" s="57"/>
      <c r="J696" s="69"/>
      <c r="K696" s="57"/>
      <c r="L696" s="57"/>
      <c r="M696" s="57"/>
    </row>
    <row r="697" spans="6:13" ht="15">
      <c r="F697" s="57"/>
      <c r="I697" s="57"/>
      <c r="J697" s="69"/>
      <c r="K697" s="57"/>
      <c r="L697" s="57"/>
      <c r="M697" s="57"/>
    </row>
    <row r="698" spans="6:13" ht="15">
      <c r="F698" s="57"/>
      <c r="I698" s="57"/>
      <c r="J698" s="69"/>
      <c r="K698" s="57"/>
      <c r="L698" s="57"/>
      <c r="M698" s="57"/>
    </row>
    <row r="699" spans="6:13" ht="15">
      <c r="F699" s="57"/>
      <c r="I699" s="57"/>
      <c r="J699" s="69"/>
      <c r="K699" s="57"/>
      <c r="L699" s="57"/>
      <c r="M699" s="57"/>
    </row>
    <row r="700" spans="6:13" ht="15">
      <c r="F700" s="57"/>
      <c r="I700" s="57"/>
      <c r="J700" s="69"/>
      <c r="K700" s="57"/>
      <c r="L700" s="57"/>
      <c r="M700" s="57"/>
    </row>
    <row r="701" spans="6:13" ht="15">
      <c r="F701" s="57"/>
      <c r="I701" s="57"/>
      <c r="J701" s="69"/>
      <c r="K701" s="57"/>
      <c r="L701" s="57"/>
      <c r="M701" s="57"/>
    </row>
    <row r="702" spans="6:13" ht="15">
      <c r="F702" s="57"/>
      <c r="I702" s="57"/>
      <c r="J702" s="69"/>
      <c r="K702" s="57"/>
      <c r="L702" s="57"/>
      <c r="M702" s="57"/>
    </row>
    <row r="703" spans="6:13" ht="15">
      <c r="F703" s="57"/>
      <c r="I703" s="57"/>
      <c r="J703" s="69"/>
      <c r="K703" s="57"/>
      <c r="L703" s="57"/>
      <c r="M703" s="57"/>
    </row>
    <row r="704" spans="6:13" ht="15">
      <c r="F704" s="57"/>
      <c r="I704" s="57"/>
      <c r="J704" s="69"/>
      <c r="K704" s="57"/>
      <c r="L704" s="57"/>
      <c r="M704" s="57"/>
    </row>
    <row r="705" spans="6:13" ht="15">
      <c r="F705" s="57"/>
      <c r="I705" s="57"/>
      <c r="J705" s="69"/>
      <c r="K705" s="57"/>
      <c r="L705" s="57"/>
      <c r="M705" s="57"/>
    </row>
    <row r="706" spans="6:13" ht="15">
      <c r="F706" s="57"/>
      <c r="I706" s="57"/>
      <c r="J706" s="69"/>
      <c r="K706" s="57"/>
      <c r="L706" s="57"/>
      <c r="M706" s="57"/>
    </row>
    <row r="707" spans="6:13" ht="15">
      <c r="F707" s="57"/>
      <c r="I707" s="57"/>
      <c r="J707" s="69"/>
      <c r="K707" s="57"/>
      <c r="L707" s="57"/>
      <c r="M707" s="57"/>
    </row>
    <row r="708" spans="6:13" ht="15">
      <c r="F708" s="57"/>
      <c r="I708" s="57"/>
      <c r="J708" s="69"/>
      <c r="K708" s="57"/>
      <c r="L708" s="57"/>
      <c r="M708" s="57"/>
    </row>
    <row r="709" spans="6:13" ht="15">
      <c r="F709" s="57"/>
      <c r="I709" s="57"/>
      <c r="J709" s="69"/>
      <c r="K709" s="57"/>
      <c r="L709" s="57"/>
      <c r="M709" s="57"/>
    </row>
    <row r="710" spans="6:13" ht="15">
      <c r="F710" s="57"/>
      <c r="I710" s="57"/>
      <c r="J710" s="69"/>
      <c r="K710" s="57"/>
      <c r="L710" s="57"/>
      <c r="M710" s="57"/>
    </row>
    <row r="711" spans="6:13" ht="15">
      <c r="F711" s="57"/>
      <c r="I711" s="57"/>
      <c r="J711" s="69"/>
      <c r="K711" s="57"/>
      <c r="L711" s="57"/>
      <c r="M711" s="57"/>
    </row>
    <row r="712" spans="6:13" ht="15">
      <c r="F712" s="57"/>
      <c r="I712" s="57"/>
      <c r="J712" s="69"/>
      <c r="K712" s="57"/>
      <c r="L712" s="57"/>
      <c r="M712" s="57"/>
    </row>
    <row r="713" spans="6:13" ht="15">
      <c r="F713" s="57"/>
      <c r="I713" s="57"/>
      <c r="J713" s="69"/>
      <c r="K713" s="57"/>
      <c r="L713" s="57"/>
      <c r="M713" s="57"/>
    </row>
    <row r="714" spans="6:13" ht="15">
      <c r="F714" s="57"/>
      <c r="I714" s="57"/>
      <c r="J714" s="69"/>
      <c r="K714" s="57"/>
      <c r="L714" s="57"/>
      <c r="M714" s="57"/>
    </row>
    <row r="715" spans="6:13" ht="15">
      <c r="F715" s="57"/>
      <c r="I715" s="57"/>
      <c r="J715" s="69"/>
      <c r="K715" s="57"/>
      <c r="L715" s="57"/>
      <c r="M715" s="57"/>
    </row>
    <row r="716" spans="6:13" ht="15">
      <c r="F716" s="57"/>
      <c r="I716" s="57"/>
      <c r="J716" s="69"/>
      <c r="K716" s="57"/>
      <c r="L716" s="57"/>
      <c r="M716" s="57"/>
    </row>
    <row r="717" spans="6:13" ht="15">
      <c r="F717" s="57"/>
      <c r="I717" s="57"/>
      <c r="J717" s="69"/>
      <c r="K717" s="57"/>
      <c r="L717" s="57"/>
      <c r="M717" s="57"/>
    </row>
    <row r="718" spans="6:13" ht="15">
      <c r="F718" s="57"/>
      <c r="I718" s="57"/>
      <c r="J718" s="69"/>
      <c r="K718" s="57"/>
      <c r="L718" s="57"/>
      <c r="M718" s="57"/>
    </row>
    <row r="719" spans="6:13" ht="15">
      <c r="F719" s="57"/>
      <c r="I719" s="57"/>
      <c r="J719" s="69"/>
      <c r="K719" s="57"/>
      <c r="L719" s="57"/>
      <c r="M719" s="57"/>
    </row>
    <row r="720" spans="6:13" ht="15">
      <c r="F720" s="57"/>
      <c r="I720" s="57"/>
      <c r="J720" s="69"/>
      <c r="K720" s="57"/>
      <c r="L720" s="57"/>
      <c r="M720" s="57"/>
    </row>
    <row r="721" spans="6:13" ht="15">
      <c r="F721" s="57"/>
      <c r="I721" s="57"/>
      <c r="J721" s="69"/>
      <c r="K721" s="57"/>
      <c r="L721" s="57"/>
      <c r="M721" s="57"/>
    </row>
    <row r="722" spans="6:13" ht="15">
      <c r="F722" s="57"/>
      <c r="I722" s="57"/>
      <c r="J722" s="69"/>
      <c r="K722" s="57"/>
      <c r="L722" s="57"/>
      <c r="M722" s="57"/>
    </row>
    <row r="723" spans="6:13" ht="15">
      <c r="F723" s="57"/>
      <c r="I723" s="57"/>
      <c r="J723" s="69"/>
      <c r="K723" s="57"/>
      <c r="L723" s="57"/>
      <c r="M723" s="57"/>
    </row>
    <row r="724" spans="6:13" ht="15">
      <c r="F724" s="57"/>
      <c r="I724" s="57"/>
      <c r="J724" s="69"/>
      <c r="K724" s="57"/>
      <c r="L724" s="57"/>
      <c r="M724" s="57"/>
    </row>
    <row r="725" spans="6:13" ht="15">
      <c r="F725" s="57"/>
      <c r="I725" s="57"/>
      <c r="J725" s="69"/>
      <c r="K725" s="57"/>
      <c r="L725" s="57"/>
      <c r="M725" s="57"/>
    </row>
    <row r="726" spans="6:13" ht="15">
      <c r="F726" s="57"/>
      <c r="I726" s="57"/>
      <c r="J726" s="69"/>
      <c r="K726" s="57"/>
      <c r="L726" s="57"/>
      <c r="M726" s="57"/>
    </row>
    <row r="727" spans="6:13" ht="15">
      <c r="F727" s="57"/>
      <c r="I727" s="57"/>
      <c r="J727" s="69"/>
      <c r="K727" s="57"/>
      <c r="L727" s="57"/>
      <c r="M727" s="57"/>
    </row>
    <row r="728" spans="6:13" ht="15">
      <c r="F728" s="57"/>
      <c r="I728" s="57"/>
      <c r="J728" s="69"/>
      <c r="K728" s="57"/>
      <c r="L728" s="57"/>
      <c r="M728" s="57"/>
    </row>
    <row r="729" spans="6:13" ht="15">
      <c r="F729" s="57"/>
      <c r="I729" s="57"/>
      <c r="J729" s="69"/>
      <c r="K729" s="57"/>
      <c r="L729" s="57"/>
      <c r="M729" s="57"/>
    </row>
    <row r="730" spans="6:13" ht="15">
      <c r="F730" s="57"/>
      <c r="I730" s="57"/>
      <c r="J730" s="69"/>
      <c r="K730" s="57"/>
      <c r="L730" s="57"/>
      <c r="M730" s="57"/>
    </row>
    <row r="731" spans="6:13" ht="15">
      <c r="F731" s="57"/>
      <c r="I731" s="57"/>
      <c r="J731" s="69"/>
      <c r="K731" s="57"/>
      <c r="L731" s="57"/>
      <c r="M731" s="57"/>
    </row>
    <row r="732" spans="6:13" ht="15">
      <c r="F732" s="57"/>
      <c r="I732" s="57"/>
      <c r="J732" s="69"/>
      <c r="K732" s="57"/>
      <c r="L732" s="57"/>
      <c r="M732" s="57"/>
    </row>
    <row r="733" spans="6:13" ht="15">
      <c r="F733" s="57"/>
      <c r="I733" s="57"/>
      <c r="J733" s="69"/>
      <c r="K733" s="57"/>
      <c r="L733" s="57"/>
      <c r="M733" s="57"/>
    </row>
    <row r="734" spans="6:13" ht="15">
      <c r="F734" s="57"/>
      <c r="I734" s="57"/>
      <c r="J734" s="69"/>
      <c r="K734" s="57"/>
      <c r="L734" s="57"/>
      <c r="M734" s="57"/>
    </row>
    <row r="735" spans="6:13" ht="15">
      <c r="F735" s="57"/>
      <c r="I735" s="57"/>
      <c r="J735" s="69"/>
      <c r="K735" s="57"/>
      <c r="L735" s="57"/>
      <c r="M735" s="57"/>
    </row>
    <row r="736" spans="6:13" ht="15">
      <c r="F736" s="57"/>
      <c r="I736" s="57"/>
      <c r="J736" s="69"/>
      <c r="K736" s="57"/>
      <c r="L736" s="57"/>
      <c r="M736" s="57"/>
    </row>
    <row r="737" spans="6:13" ht="15">
      <c r="F737" s="57"/>
      <c r="I737" s="57"/>
      <c r="J737" s="69"/>
      <c r="K737" s="57"/>
      <c r="L737" s="57"/>
      <c r="M737" s="57"/>
    </row>
    <row r="738" spans="6:13" ht="15">
      <c r="F738" s="57"/>
      <c r="I738" s="57"/>
      <c r="J738" s="69"/>
      <c r="K738" s="57"/>
      <c r="L738" s="57"/>
      <c r="M738" s="57"/>
    </row>
    <row r="739" spans="6:13" ht="15">
      <c r="F739" s="57"/>
      <c r="I739" s="57"/>
      <c r="J739" s="69"/>
      <c r="K739" s="57"/>
      <c r="L739" s="57"/>
      <c r="M739" s="57"/>
    </row>
    <row r="740" spans="6:13" ht="15">
      <c r="F740" s="57"/>
      <c r="I740" s="57"/>
      <c r="J740" s="69"/>
      <c r="K740" s="57"/>
      <c r="L740" s="57"/>
      <c r="M740" s="57"/>
    </row>
    <row r="741" spans="6:13" ht="15">
      <c r="F741" s="57"/>
      <c r="I741" s="57"/>
      <c r="J741" s="69"/>
      <c r="K741" s="57"/>
      <c r="L741" s="57"/>
      <c r="M741" s="57"/>
    </row>
    <row r="742" spans="6:13" ht="15">
      <c r="F742" s="57"/>
      <c r="I742" s="57"/>
      <c r="J742" s="69"/>
      <c r="K742" s="57"/>
      <c r="L742" s="57"/>
      <c r="M742" s="57"/>
    </row>
    <row r="743" spans="6:13" ht="15">
      <c r="F743" s="57"/>
      <c r="I743" s="57"/>
      <c r="J743" s="69"/>
      <c r="K743" s="57"/>
      <c r="L743" s="57"/>
      <c r="M743" s="57"/>
    </row>
    <row r="744" spans="6:13" ht="15">
      <c r="F744" s="57"/>
      <c r="I744" s="57"/>
      <c r="J744" s="69"/>
      <c r="K744" s="57"/>
      <c r="L744" s="57"/>
      <c r="M744" s="57"/>
    </row>
    <row r="745" spans="6:13" ht="15">
      <c r="F745" s="57"/>
      <c r="I745" s="57"/>
      <c r="J745" s="69"/>
      <c r="K745" s="57"/>
      <c r="L745" s="57"/>
      <c r="M745" s="57"/>
    </row>
    <row r="746" spans="6:13" ht="15">
      <c r="F746" s="57"/>
      <c r="I746" s="57"/>
      <c r="J746" s="69"/>
      <c r="K746" s="57"/>
      <c r="L746" s="57"/>
      <c r="M746" s="57"/>
    </row>
    <row r="747" spans="6:13" ht="15">
      <c r="F747" s="57"/>
      <c r="I747" s="57"/>
      <c r="J747" s="69"/>
      <c r="K747" s="57"/>
      <c r="L747" s="57"/>
      <c r="M747" s="57"/>
    </row>
    <row r="748" spans="6:13" ht="15">
      <c r="F748" s="57"/>
      <c r="I748" s="57"/>
      <c r="J748" s="69"/>
      <c r="K748" s="57"/>
      <c r="L748" s="57"/>
      <c r="M748" s="57"/>
    </row>
    <row r="749" spans="6:13" ht="15">
      <c r="F749" s="57"/>
      <c r="I749" s="57"/>
      <c r="J749" s="69"/>
      <c r="K749" s="57"/>
      <c r="L749" s="57"/>
      <c r="M749" s="57"/>
    </row>
    <row r="750" spans="6:13" ht="15">
      <c r="F750" s="57"/>
      <c r="I750" s="57"/>
      <c r="J750" s="69"/>
      <c r="K750" s="57"/>
      <c r="L750" s="57"/>
      <c r="M750" s="57"/>
    </row>
  </sheetData>
  <sheetProtection/>
  <mergeCells count="463">
    <mergeCell ref="D19:E19"/>
    <mergeCell ref="D3:E3"/>
    <mergeCell ref="D4:E4"/>
    <mergeCell ref="D5:E5"/>
    <mergeCell ref="D6:E6"/>
    <mergeCell ref="D20:E20"/>
    <mergeCell ref="D24:E24"/>
    <mergeCell ref="D25:E25"/>
    <mergeCell ref="D43:E43"/>
    <mergeCell ref="D27:E27"/>
    <mergeCell ref="D31:E31"/>
    <mergeCell ref="D38:E38"/>
    <mergeCell ref="D61:E61"/>
    <mergeCell ref="D62:E62"/>
    <mergeCell ref="D47:E47"/>
    <mergeCell ref="D52:E52"/>
    <mergeCell ref="D57:E57"/>
    <mergeCell ref="D72:E72"/>
    <mergeCell ref="D74:E74"/>
    <mergeCell ref="D76:E76"/>
    <mergeCell ref="D63:E63"/>
    <mergeCell ref="D66:E66"/>
    <mergeCell ref="D70:E70"/>
    <mergeCell ref="D80:E80"/>
    <mergeCell ref="D82:E82"/>
    <mergeCell ref="D96:E96"/>
    <mergeCell ref="D85:E85"/>
    <mergeCell ref="D171:E171"/>
    <mergeCell ref="D97:E97"/>
    <mergeCell ref="D106:E106"/>
    <mergeCell ref="D179:E179"/>
    <mergeCell ref="D133:E133"/>
    <mergeCell ref="D147:E147"/>
    <mergeCell ref="D148:E148"/>
    <mergeCell ref="D160:E160"/>
    <mergeCell ref="D197:E197"/>
    <mergeCell ref="D200:E200"/>
    <mergeCell ref="D201:E201"/>
    <mergeCell ref="D188:E188"/>
    <mergeCell ref="D191:E191"/>
    <mergeCell ref="D194:E194"/>
    <mergeCell ref="D213:E213"/>
    <mergeCell ref="D216:E216"/>
    <mergeCell ref="D219:E219"/>
    <mergeCell ref="D204:E204"/>
    <mergeCell ref="D207:E207"/>
    <mergeCell ref="D210:E210"/>
    <mergeCell ref="D230:E230"/>
    <mergeCell ref="D232:E232"/>
    <mergeCell ref="D233:E233"/>
    <mergeCell ref="D222:E222"/>
    <mergeCell ref="D224:E224"/>
    <mergeCell ref="D225:E225"/>
    <mergeCell ref="D247:E247"/>
    <mergeCell ref="D250:E250"/>
    <mergeCell ref="D259:E259"/>
    <mergeCell ref="D236:E236"/>
    <mergeCell ref="D241:E241"/>
    <mergeCell ref="D245:E245"/>
    <mergeCell ref="D273:E273"/>
    <mergeCell ref="D278:E278"/>
    <mergeCell ref="D282:E282"/>
    <mergeCell ref="D265:E265"/>
    <mergeCell ref="D266:E266"/>
    <mergeCell ref="D267:E267"/>
    <mergeCell ref="D292:E292"/>
    <mergeCell ref="D293:E293"/>
    <mergeCell ref="D295:E295"/>
    <mergeCell ref="D283:E283"/>
    <mergeCell ref="D286:E286"/>
    <mergeCell ref="D289:E289"/>
    <mergeCell ref="D312:E312"/>
    <mergeCell ref="D315:E315"/>
    <mergeCell ref="D318:E318"/>
    <mergeCell ref="D297:E297"/>
    <mergeCell ref="D304:E304"/>
    <mergeCell ref="D311:E311"/>
    <mergeCell ref="D331:E331"/>
    <mergeCell ref="D321:E321"/>
    <mergeCell ref="D325:E325"/>
    <mergeCell ref="D327:E327"/>
    <mergeCell ref="D332:E332"/>
    <mergeCell ref="D356:E356"/>
    <mergeCell ref="D338:E338"/>
    <mergeCell ref="D346:E346"/>
    <mergeCell ref="D350:E350"/>
    <mergeCell ref="D369:E369"/>
    <mergeCell ref="D352:E352"/>
    <mergeCell ref="D395:E395"/>
    <mergeCell ref="D377:E377"/>
    <mergeCell ref="D381:E381"/>
    <mergeCell ref="D357:E357"/>
    <mergeCell ref="D360:E360"/>
    <mergeCell ref="D367:E367"/>
    <mergeCell ref="D382:E382"/>
    <mergeCell ref="D390:E390"/>
    <mergeCell ref="D431:E431"/>
    <mergeCell ref="D397:E397"/>
    <mergeCell ref="D396:E396"/>
    <mergeCell ref="D435:E435"/>
    <mergeCell ref="D413:E413"/>
    <mergeCell ref="D418:E418"/>
    <mergeCell ref="D428:E428"/>
    <mergeCell ref="D473:E473"/>
    <mergeCell ref="D475:E475"/>
    <mergeCell ref="B3:B4"/>
    <mergeCell ref="A3:A4"/>
    <mergeCell ref="D468:E468"/>
    <mergeCell ref="D469:E469"/>
    <mergeCell ref="D471:E471"/>
    <mergeCell ref="D457:E457"/>
    <mergeCell ref="D462:E462"/>
    <mergeCell ref="D466:E466"/>
    <mergeCell ref="B1:E1"/>
    <mergeCell ref="D441:E441"/>
    <mergeCell ref="D446:E446"/>
    <mergeCell ref="D447:E447"/>
    <mergeCell ref="D434:E434"/>
    <mergeCell ref="G3:H3"/>
    <mergeCell ref="G4:H4"/>
    <mergeCell ref="G5:H5"/>
    <mergeCell ref="G6:H6"/>
    <mergeCell ref="G19:H19"/>
    <mergeCell ref="G20:H20"/>
    <mergeCell ref="G24:H24"/>
    <mergeCell ref="G25:H25"/>
    <mergeCell ref="G27:H27"/>
    <mergeCell ref="G31:H31"/>
    <mergeCell ref="G38:H38"/>
    <mergeCell ref="G43:H43"/>
    <mergeCell ref="G47:H47"/>
    <mergeCell ref="G52:H52"/>
    <mergeCell ref="G57:H57"/>
    <mergeCell ref="G61:H61"/>
    <mergeCell ref="G62:H62"/>
    <mergeCell ref="G63:H63"/>
    <mergeCell ref="G66:H66"/>
    <mergeCell ref="G70:H70"/>
    <mergeCell ref="G72:H72"/>
    <mergeCell ref="G74:H74"/>
    <mergeCell ref="G76:H76"/>
    <mergeCell ref="G80:H80"/>
    <mergeCell ref="G82:H82"/>
    <mergeCell ref="G85:H85"/>
    <mergeCell ref="G96:H96"/>
    <mergeCell ref="G97:H97"/>
    <mergeCell ref="G106:H106"/>
    <mergeCell ref="G133:H133"/>
    <mergeCell ref="G147:H147"/>
    <mergeCell ref="G148:H148"/>
    <mergeCell ref="G160:H160"/>
    <mergeCell ref="G171:H171"/>
    <mergeCell ref="G179:H179"/>
    <mergeCell ref="G188:H188"/>
    <mergeCell ref="G191:H191"/>
    <mergeCell ref="G194:H194"/>
    <mergeCell ref="G197:H197"/>
    <mergeCell ref="G200:H200"/>
    <mergeCell ref="G201:H201"/>
    <mergeCell ref="G204:H204"/>
    <mergeCell ref="G207:H207"/>
    <mergeCell ref="G210:H210"/>
    <mergeCell ref="G213:H213"/>
    <mergeCell ref="G216:H216"/>
    <mergeCell ref="G219:H219"/>
    <mergeCell ref="G222:H222"/>
    <mergeCell ref="G224:H224"/>
    <mergeCell ref="G225:H225"/>
    <mergeCell ref="G230:H230"/>
    <mergeCell ref="G232:H232"/>
    <mergeCell ref="G233:H233"/>
    <mergeCell ref="G236:H236"/>
    <mergeCell ref="G241:H241"/>
    <mergeCell ref="G245:H245"/>
    <mergeCell ref="G247:H247"/>
    <mergeCell ref="G250:H250"/>
    <mergeCell ref="G259:H259"/>
    <mergeCell ref="G265:H265"/>
    <mergeCell ref="G266:H266"/>
    <mergeCell ref="G267:H267"/>
    <mergeCell ref="G273:H273"/>
    <mergeCell ref="G278:H278"/>
    <mergeCell ref="G282:H282"/>
    <mergeCell ref="G283:H283"/>
    <mergeCell ref="G286:H286"/>
    <mergeCell ref="G289:H289"/>
    <mergeCell ref="G292:H292"/>
    <mergeCell ref="G293:H293"/>
    <mergeCell ref="G295:H295"/>
    <mergeCell ref="G297:H297"/>
    <mergeCell ref="G304:H304"/>
    <mergeCell ref="G311:H311"/>
    <mergeCell ref="G312:H312"/>
    <mergeCell ref="G315:H315"/>
    <mergeCell ref="G318:H318"/>
    <mergeCell ref="G321:H321"/>
    <mergeCell ref="G325:H325"/>
    <mergeCell ref="G327:H327"/>
    <mergeCell ref="G331:H331"/>
    <mergeCell ref="G332:H332"/>
    <mergeCell ref="G338:H338"/>
    <mergeCell ref="G346:H346"/>
    <mergeCell ref="G350:H350"/>
    <mergeCell ref="G352:H352"/>
    <mergeCell ref="G356:H356"/>
    <mergeCell ref="G357:H357"/>
    <mergeCell ref="G360:H360"/>
    <mergeCell ref="G367:H367"/>
    <mergeCell ref="G369:H369"/>
    <mergeCell ref="G377:H377"/>
    <mergeCell ref="G381:H381"/>
    <mergeCell ref="G382:H382"/>
    <mergeCell ref="G390:H390"/>
    <mergeCell ref="G395:H395"/>
    <mergeCell ref="G396:H396"/>
    <mergeCell ref="G397:H397"/>
    <mergeCell ref="G413:H413"/>
    <mergeCell ref="G418:H418"/>
    <mergeCell ref="G428:H428"/>
    <mergeCell ref="G431:H431"/>
    <mergeCell ref="G434:H434"/>
    <mergeCell ref="G435:H435"/>
    <mergeCell ref="G441:H441"/>
    <mergeCell ref="G446:H446"/>
    <mergeCell ref="G447:H447"/>
    <mergeCell ref="G457:H457"/>
    <mergeCell ref="G462:H462"/>
    <mergeCell ref="G466:H466"/>
    <mergeCell ref="G468:H468"/>
    <mergeCell ref="G469:H469"/>
    <mergeCell ref="G471:H471"/>
    <mergeCell ref="G473:H473"/>
    <mergeCell ref="G475:H475"/>
    <mergeCell ref="J3:K3"/>
    <mergeCell ref="J4:K4"/>
    <mergeCell ref="J5:K5"/>
    <mergeCell ref="J6:K6"/>
    <mergeCell ref="J19:K19"/>
    <mergeCell ref="J20:K20"/>
    <mergeCell ref="J24:K24"/>
    <mergeCell ref="J25:K25"/>
    <mergeCell ref="J27:K27"/>
    <mergeCell ref="J31:K31"/>
    <mergeCell ref="J38:K38"/>
    <mergeCell ref="J43:K43"/>
    <mergeCell ref="J47:K47"/>
    <mergeCell ref="J52:K52"/>
    <mergeCell ref="J57:K57"/>
    <mergeCell ref="J61:K61"/>
    <mergeCell ref="J62:K62"/>
    <mergeCell ref="J63:K63"/>
    <mergeCell ref="J66:K66"/>
    <mergeCell ref="J70:K70"/>
    <mergeCell ref="J72:K72"/>
    <mergeCell ref="J74:K74"/>
    <mergeCell ref="J76:K76"/>
    <mergeCell ref="J80:K80"/>
    <mergeCell ref="J82:K82"/>
    <mergeCell ref="J85:K85"/>
    <mergeCell ref="J96:K96"/>
    <mergeCell ref="J97:K97"/>
    <mergeCell ref="J106:K106"/>
    <mergeCell ref="J133:K133"/>
    <mergeCell ref="J147:K147"/>
    <mergeCell ref="J148:K148"/>
    <mergeCell ref="J160:K160"/>
    <mergeCell ref="J171:K171"/>
    <mergeCell ref="J179:K179"/>
    <mergeCell ref="J188:K188"/>
    <mergeCell ref="J191:K191"/>
    <mergeCell ref="J194:K194"/>
    <mergeCell ref="J197:K197"/>
    <mergeCell ref="J200:K200"/>
    <mergeCell ref="J201:K201"/>
    <mergeCell ref="J204:K204"/>
    <mergeCell ref="J207:K207"/>
    <mergeCell ref="J210:K210"/>
    <mergeCell ref="J213:K213"/>
    <mergeCell ref="J216:K216"/>
    <mergeCell ref="J219:K219"/>
    <mergeCell ref="J222:K222"/>
    <mergeCell ref="J224:K224"/>
    <mergeCell ref="J225:K225"/>
    <mergeCell ref="J230:K230"/>
    <mergeCell ref="J232:K232"/>
    <mergeCell ref="J233:K233"/>
    <mergeCell ref="J236:K236"/>
    <mergeCell ref="J241:K241"/>
    <mergeCell ref="J245:K245"/>
    <mergeCell ref="J247:K247"/>
    <mergeCell ref="J250:K250"/>
    <mergeCell ref="J259:K259"/>
    <mergeCell ref="J265:K265"/>
    <mergeCell ref="J266:K266"/>
    <mergeCell ref="J267:K267"/>
    <mergeCell ref="J273:K273"/>
    <mergeCell ref="J278:K278"/>
    <mergeCell ref="J282:K282"/>
    <mergeCell ref="J283:K283"/>
    <mergeCell ref="J286:K286"/>
    <mergeCell ref="J289:K289"/>
    <mergeCell ref="J292:K292"/>
    <mergeCell ref="J293:K293"/>
    <mergeCell ref="J295:K295"/>
    <mergeCell ref="J297:K297"/>
    <mergeCell ref="J304:K304"/>
    <mergeCell ref="J311:K311"/>
    <mergeCell ref="J312:K312"/>
    <mergeCell ref="J315:K315"/>
    <mergeCell ref="J318:K318"/>
    <mergeCell ref="J321:K321"/>
    <mergeCell ref="J325:K325"/>
    <mergeCell ref="J327:K327"/>
    <mergeCell ref="J331:K331"/>
    <mergeCell ref="J332:K332"/>
    <mergeCell ref="J338:K338"/>
    <mergeCell ref="J346:K346"/>
    <mergeCell ref="J350:K350"/>
    <mergeCell ref="J352:K352"/>
    <mergeCell ref="J356:K356"/>
    <mergeCell ref="J357:K357"/>
    <mergeCell ref="J360:K360"/>
    <mergeCell ref="J367:K367"/>
    <mergeCell ref="J369:K369"/>
    <mergeCell ref="J377:K377"/>
    <mergeCell ref="J381:K381"/>
    <mergeCell ref="J382:K382"/>
    <mergeCell ref="J390:K390"/>
    <mergeCell ref="J395:K395"/>
    <mergeCell ref="J396:K396"/>
    <mergeCell ref="J397:K397"/>
    <mergeCell ref="J413:K413"/>
    <mergeCell ref="J418:K418"/>
    <mergeCell ref="J428:K428"/>
    <mergeCell ref="J431:K431"/>
    <mergeCell ref="J434:K434"/>
    <mergeCell ref="J435:K435"/>
    <mergeCell ref="J441:K441"/>
    <mergeCell ref="J469:K469"/>
    <mergeCell ref="J471:K471"/>
    <mergeCell ref="J473:K473"/>
    <mergeCell ref="J475:K475"/>
    <mergeCell ref="J446:K446"/>
    <mergeCell ref="J447:K447"/>
    <mergeCell ref="J457:K457"/>
    <mergeCell ref="J462:K462"/>
    <mergeCell ref="J466:K466"/>
    <mergeCell ref="J468:K468"/>
    <mergeCell ref="P3:Q3"/>
    <mergeCell ref="P4:Q4"/>
    <mergeCell ref="P5:Q5"/>
    <mergeCell ref="P6:Q6"/>
    <mergeCell ref="P19:Q19"/>
    <mergeCell ref="P20:Q20"/>
    <mergeCell ref="P24:Q24"/>
    <mergeCell ref="P25:Q25"/>
    <mergeCell ref="P27:Q27"/>
    <mergeCell ref="P31:Q31"/>
    <mergeCell ref="P38:Q38"/>
    <mergeCell ref="P43:Q43"/>
    <mergeCell ref="P47:Q47"/>
    <mergeCell ref="P52:Q52"/>
    <mergeCell ref="P57:Q57"/>
    <mergeCell ref="P61:Q61"/>
    <mergeCell ref="P62:Q62"/>
    <mergeCell ref="P63:Q63"/>
    <mergeCell ref="P66:Q66"/>
    <mergeCell ref="P70:Q70"/>
    <mergeCell ref="P72:Q72"/>
    <mergeCell ref="P74:Q74"/>
    <mergeCell ref="P76:Q76"/>
    <mergeCell ref="P80:Q80"/>
    <mergeCell ref="P82:Q82"/>
    <mergeCell ref="P85:Q85"/>
    <mergeCell ref="P96:Q96"/>
    <mergeCell ref="P97:Q97"/>
    <mergeCell ref="P106:Q106"/>
    <mergeCell ref="P133:Q133"/>
    <mergeCell ref="P147:Q147"/>
    <mergeCell ref="P148:Q148"/>
    <mergeCell ref="P160:Q160"/>
    <mergeCell ref="P171:Q171"/>
    <mergeCell ref="P179:Q179"/>
    <mergeCell ref="P188:Q188"/>
    <mergeCell ref="P191:Q191"/>
    <mergeCell ref="P194:Q194"/>
    <mergeCell ref="P197:Q197"/>
    <mergeCell ref="P200:Q200"/>
    <mergeCell ref="P201:Q201"/>
    <mergeCell ref="P204:Q204"/>
    <mergeCell ref="P207:Q207"/>
    <mergeCell ref="P210:Q210"/>
    <mergeCell ref="P213:Q213"/>
    <mergeCell ref="P216:Q216"/>
    <mergeCell ref="P219:Q219"/>
    <mergeCell ref="P222:Q222"/>
    <mergeCell ref="P224:Q224"/>
    <mergeCell ref="P225:Q225"/>
    <mergeCell ref="P230:Q230"/>
    <mergeCell ref="P232:Q232"/>
    <mergeCell ref="P233:Q233"/>
    <mergeCell ref="P236:Q236"/>
    <mergeCell ref="P241:Q241"/>
    <mergeCell ref="P245:Q245"/>
    <mergeCell ref="P247:Q247"/>
    <mergeCell ref="P250:Q250"/>
    <mergeCell ref="P259:Q259"/>
    <mergeCell ref="P265:Q265"/>
    <mergeCell ref="P266:Q266"/>
    <mergeCell ref="P267:Q267"/>
    <mergeCell ref="P273:Q273"/>
    <mergeCell ref="P278:Q278"/>
    <mergeCell ref="P282:Q282"/>
    <mergeCell ref="P283:Q283"/>
    <mergeCell ref="P286:Q286"/>
    <mergeCell ref="P289:Q289"/>
    <mergeCell ref="P292:Q292"/>
    <mergeCell ref="P293:Q293"/>
    <mergeCell ref="P295:Q295"/>
    <mergeCell ref="P297:Q297"/>
    <mergeCell ref="P304:Q304"/>
    <mergeCell ref="P311:Q311"/>
    <mergeCell ref="P312:Q312"/>
    <mergeCell ref="P315:Q315"/>
    <mergeCell ref="P318:Q318"/>
    <mergeCell ref="P321:Q321"/>
    <mergeCell ref="P325:Q325"/>
    <mergeCell ref="P327:Q327"/>
    <mergeCell ref="P331:Q331"/>
    <mergeCell ref="P332:Q332"/>
    <mergeCell ref="P338:Q338"/>
    <mergeCell ref="P346:Q346"/>
    <mergeCell ref="P350:Q350"/>
    <mergeCell ref="P352:Q352"/>
    <mergeCell ref="P356:Q356"/>
    <mergeCell ref="P357:Q357"/>
    <mergeCell ref="P360:Q360"/>
    <mergeCell ref="P367:Q367"/>
    <mergeCell ref="P369:Q369"/>
    <mergeCell ref="P377:Q377"/>
    <mergeCell ref="P381:Q381"/>
    <mergeCell ref="P382:Q382"/>
    <mergeCell ref="P390:Q390"/>
    <mergeCell ref="P395:Q395"/>
    <mergeCell ref="P396:Q396"/>
    <mergeCell ref="P397:Q397"/>
    <mergeCell ref="P413:Q413"/>
    <mergeCell ref="P418:Q418"/>
    <mergeCell ref="P428:Q428"/>
    <mergeCell ref="P431:Q431"/>
    <mergeCell ref="P434:Q434"/>
    <mergeCell ref="P435:Q435"/>
    <mergeCell ref="P441:Q441"/>
    <mergeCell ref="P446:Q446"/>
    <mergeCell ref="P447:Q447"/>
    <mergeCell ref="P457:Q457"/>
    <mergeCell ref="P475:Q475"/>
    <mergeCell ref="P462:Q462"/>
    <mergeCell ref="P466:Q466"/>
    <mergeCell ref="P468:Q468"/>
    <mergeCell ref="P469:Q469"/>
    <mergeCell ref="P471:Q471"/>
    <mergeCell ref="P473:Q473"/>
  </mergeCells>
  <hyperlinks>
    <hyperlink ref="A3" location="оглавление!R1C1" display="Вернуться к оглавлению"/>
    <hyperlink ref="A5:A476" location="оглавление!R1C1" display="оглавление!R1C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Геннадий</dc:creator>
  <cp:keywords/>
  <dc:description/>
  <cp:lastModifiedBy>Геннадий</cp:lastModifiedBy>
  <cp:lastPrinted>2011-11-01T05:19:21Z</cp:lastPrinted>
  <dcterms:created xsi:type="dcterms:W3CDTF">2011-10-28T05:41:02Z</dcterms:created>
  <dcterms:modified xsi:type="dcterms:W3CDTF">2011-11-18T11:12:46Z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